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5"/>
  </bookViews>
  <sheets>
    <sheet name="Stavební rozpočet" sheetId="1" r:id="rId1"/>
    <sheet name="Stavební rozpočet - součet" sheetId="2" r:id="rId2"/>
    <sheet name="Výkaz výměr" sheetId="3" r:id="rId3"/>
    <sheet name="Harmonogram" sheetId="4" r:id="rId4"/>
    <sheet name="Čerpání rozpočtu a fakturace" sheetId="5" r:id="rId5"/>
    <sheet name="Krycí list rozpočtu" sheetId="6" r:id="rId6"/>
  </sheets>
  <definedNames/>
  <calcPr fullCalcOnLoad="1"/>
</workbook>
</file>

<file path=xl/sharedStrings.xml><?xml version="1.0" encoding="utf-8"?>
<sst xmlns="http://schemas.openxmlformats.org/spreadsheetml/2006/main" count="366" uniqueCount="171">
  <si>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</si>
  <si>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</si>
  <si>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</si>
  <si>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</si>
  <si>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</si>
  <si>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</si>
  <si>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</si>
  <si>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</si>
  <si>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</si>
  <si>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</si>
  <si>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</si>
  <si>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</si>
  <si>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</si>
  <si>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</si>
  <si>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</si>
  <si>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Poznámka:</t>
  </si>
  <si>
    <t>Objekt</t>
  </si>
  <si>
    <t>Kód</t>
  </si>
  <si>
    <t>11</t>
  </si>
  <si>
    <t>113151216R00</t>
  </si>
  <si>
    <t>113151214R00</t>
  </si>
  <si>
    <t>57</t>
  </si>
  <si>
    <t>577162114RT2</t>
  </si>
  <si>
    <t>573211111R00</t>
  </si>
  <si>
    <t>577142112RT2</t>
  </si>
  <si>
    <t>91</t>
  </si>
  <si>
    <t>919726213R00</t>
  </si>
  <si>
    <t>H22</t>
  </si>
  <si>
    <t>998225111R00</t>
  </si>
  <si>
    <t>S</t>
  </si>
  <si>
    <t>979081111R00</t>
  </si>
  <si>
    <t>Výměna obrusné vrstvy</t>
  </si>
  <si>
    <t>Zkrácený popis</t>
  </si>
  <si>
    <t>Rozměry</t>
  </si>
  <si>
    <t>Přípravné a přidružené práce</t>
  </si>
  <si>
    <t>Fréz.živič krytu nad 500 m2, bez překážek, tl.7 cm</t>
  </si>
  <si>
    <t>Fréz.živič.krytu nad 500 m2, bez překážek, tl.5 cm</t>
  </si>
  <si>
    <t>Kryty pozemních komunikací, letišť a ploch z kameniva nebo živičné</t>
  </si>
  <si>
    <t>Beton asfalt. ACO 16+ obrusný, š.nad 3 m, tl. 7 cm</t>
  </si>
  <si>
    <t>Postřik živičný spojovací z asfaltu 0,5-0,7 kg/m2</t>
  </si>
  <si>
    <t>Beton asfaltový ACO 11+, ACO 16+, nad 3 m, tl.5 cm</t>
  </si>
  <si>
    <t>Doplňující konstrukce a práce na pozemních komunikacích a zpevněných plochách</t>
  </si>
  <si>
    <t>Těsnění spár krytu  zálivkou za tepla</t>
  </si>
  <si>
    <t>Komunikace pozemní a letiště</t>
  </si>
  <si>
    <t>Přesun hmot, pozemní komunikace, kryt živičný</t>
  </si>
  <si>
    <t>Přesuny sutí</t>
  </si>
  <si>
    <t>Odvoz suti a vybour. hmot na skládku do 1 km</t>
  </si>
  <si>
    <t>MJ</t>
  </si>
  <si>
    <t>m2</t>
  </si>
  <si>
    <t>m</t>
  </si>
  <si>
    <t>t</t>
  </si>
  <si>
    <t>Doba výstavby:</t>
  </si>
  <si>
    <t>Začátek výstavby:</t>
  </si>
  <si>
    <t>Konec výstavby:</t>
  </si>
  <si>
    <t>Zpracováno dne:</t>
  </si>
  <si>
    <t>Množství</t>
  </si>
  <si>
    <t>Cena/MJ</t>
  </si>
  <si>
    <t>(Kč)</t>
  </si>
  <si>
    <t>09.06.2023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</si>
  <si>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</si>
  <si>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</si>
  <si>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</si>
  <si>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</si>
  <si>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</si>
  <si>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</si>
  <si>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</si>
  <si>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</si>
  <si>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 </t>
  </si>
  <si>
    <t>Celkem</t>
  </si>
  <si>
    <t>Hmotnost (t)</t>
  </si>
  <si>
    <t>Jednot.</t>
  </si>
  <si>
    <t>Cenová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</si>
  <si>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</si>
  <si>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</si>
  <si>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</si>
  <si>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</si>
  <si>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</si>
  <si>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</si>
  <si>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</si>
  <si>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</si>
  <si>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</si>
  <si>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</si>
  <si>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</si>
  <si>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57_</t>
  </si>
  <si>
    <t>91_</t>
  </si>
  <si>
    <t>H22_</t>
  </si>
  <si>
    <t>S_</t>
  </si>
  <si>
    <t>1_</t>
  </si>
  <si>
    <t>5_</t>
  </si>
  <si>
    <t>9_</t>
  </si>
  <si>
    <t>_</t>
  </si>
  <si>
    <t>MAT</t>
  </si>
  <si>
    <t>WORK</t>
  </si>
  <si>
    <t>CELK</t>
  </si>
  <si>
    <t>ISWORK</t>
  </si>
  <si>
    <t>P</t>
  </si>
  <si>
    <t>GROUPCODE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</si>
  <si>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</si>
  <si>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</si>
  <si>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</si>
  <si>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</si>
  <si>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</si>
  <si>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</si>
  <si>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Výkaz výměr</t>
  </si>
  <si>
    <t>Potřebné množství</t>
  </si>
  <si>
    <t>Harmonogram</t>
  </si>
  <si>
    <t>Nh</t>
  </si>
  <si>
    <t>Zdroje</t>
  </si>
  <si>
    <t>Trvání</t>
  </si>
  <si>
    <t>Rozpočet (Kč)</t>
  </si>
  <si>
    <t>Čerpání rozpočtu a fakturace</t>
  </si>
  <si>
    <t>Rozpočtové náklady (Kč)</t>
  </si>
  <si>
    <t>Fakturovaná cena (Kč)</t>
  </si>
  <si>
    <t>Rozdíl v Kč</t>
  </si>
  <si>
    <t>Rozdíl v %</t>
  </si>
  <si>
    <t>Fakturované množství</t>
  </si>
  <si>
    <t>Rozdíl</t>
  </si>
  <si>
    <t>Uhrazená cena (Kč)</t>
  </si>
  <si>
    <t>Rozdíl úhrady v Kč</t>
  </si>
  <si>
    <t>Rozdíl úhrady v %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</si>
  <si>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</si>
  <si>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</si>
  <si>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</si>
  <si>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</si>
  <si>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</si>
  <si>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</si>
  <si>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</si>
  <si>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</si>
  <si>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</si>
  <si>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</si>
  <si>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</si>
  <si>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</si>
  <si>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</si>
  <si>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</si>
  <si>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</si>
  <si>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</si>
  <si>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</si>
  <si>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</si>
  <si>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</si>
  <si>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</si>
  <si>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</si>
  <si>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</si>
  <si>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</si>
  <si>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</si>
  <si>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</si>
  <si>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</si>
  <si>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</si>
  <si>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</si>
  <si>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</si>
  <si>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</si>
  <si>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</si>
  <si>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</si>
  <si>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</si>
  <si>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</si>
  <si>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</si>
  <si>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</si>
  <si>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</si>
  <si>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</si>
  <si>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</si>
  <si>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</si>
  <si>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</si>
  <si>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</si>
  <si>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</si>
  <si>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</si>
  <si>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 xml:space="preserve">Komunikace - Krátká </t>
  </si>
  <si>
    <t>Vsetín u Pennymarketu</t>
  </si>
  <si>
    <t>11.07.2023</t>
  </si>
  <si>
    <t>Ing. Petr Ryza</t>
  </si>
  <si>
    <t>TS Vsetín, p.o.</t>
  </si>
  <si>
    <t>dle VŘ</t>
  </si>
  <si>
    <t>Odvoz suti a vybour. hmot na skládku do 2 km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</si>
</sst>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dd\.mmmm\.yy"/>
  </numFmts>
  <fonts count="45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0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0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7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19" xfId="0" applyNumberFormat="1" applyFont="1" applyFill="1" applyBorder="1" applyAlignment="1" applyProtection="1">
      <alignment horizontal="left" vertical="center"/>
      <protection/>
    </xf>
    <xf numFmtId="49" fontId="4" fillId="33" borderId="18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7" fillId="33" borderId="18" xfId="0" applyNumberFormat="1" applyFont="1" applyFill="1" applyBorder="1" applyAlignment="1" applyProtection="1">
      <alignment horizontal="right" vertical="center"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7" fillId="33" borderId="27" xfId="0" applyNumberFormat="1" applyFont="1" applyFill="1" applyBorder="1" applyAlignment="1" applyProtection="1">
      <alignment horizontal="right" vertical="center"/>
      <protection/>
    </xf>
    <xf numFmtId="49" fontId="5" fillId="0" borderId="28" xfId="0" applyNumberFormat="1" applyFont="1" applyFill="1" applyBorder="1" applyAlignment="1" applyProtection="1">
      <alignment horizontal="right" vertical="center"/>
      <protection/>
    </xf>
    <xf numFmtId="49" fontId="7" fillId="33" borderId="28" xfId="0" applyNumberFormat="1" applyFont="1" applyFill="1" applyBorder="1" applyAlignment="1" applyProtection="1">
      <alignment horizontal="right" vertical="center"/>
      <protection/>
    </xf>
    <xf numFmtId="49" fontId="5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7" fillId="33" borderId="18" xfId="0" applyNumberFormat="1" applyFont="1" applyFill="1" applyBorder="1" applyAlignment="1" applyProtection="1">
      <alignment horizontal="right" vertical="center"/>
      <protection/>
    </xf>
    <xf numFmtId="4" fontId="7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33" xfId="0" applyNumberFormat="1" applyFont="1" applyFill="1" applyBorder="1" applyAlignment="1" applyProtection="1">
      <alignment horizontal="left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" fontId="1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28" xfId="0" applyNumberFormat="1" applyFont="1" applyFill="1" applyBorder="1" applyAlignment="1" applyProtection="1">
      <alignment horizontal="right" vertical="center"/>
      <protection/>
    </xf>
    <xf numFmtId="4" fontId="1" fillId="0" borderId="29" xfId="0" applyNumberFormat="1" applyFont="1" applyFill="1" applyBorder="1" applyAlignment="1" applyProtection="1">
      <alignment horizontal="right" vertical="center"/>
      <protection/>
    </xf>
    <xf numFmtId="49" fontId="3" fillId="0" borderId="35" xfId="0" applyNumberFormat="1" applyFont="1" applyFill="1" applyBorder="1" applyAlignment="1" applyProtection="1">
      <alignment horizontal="left" vertical="center"/>
      <protection/>
    </xf>
    <xf numFmtId="49" fontId="3" fillId="0" borderId="36" xfId="0" applyNumberFormat="1" applyFont="1" applyFill="1" applyBorder="1" applyAlignment="1" applyProtection="1">
      <alignment horizontal="left" vertical="center"/>
      <protection/>
    </xf>
    <xf numFmtId="49" fontId="3" fillId="0" borderId="36" xfId="0" applyNumberFormat="1" applyFont="1" applyFill="1" applyBorder="1" applyAlignment="1" applyProtection="1">
      <alignment horizontal="right" vertical="center"/>
      <protection/>
    </xf>
    <xf numFmtId="49" fontId="3" fillId="0" borderId="37" xfId="0" applyNumberFormat="1" applyFont="1" applyFill="1" applyBorder="1" applyAlignment="1" applyProtection="1">
      <alignment horizontal="left" vertical="center"/>
      <protection/>
    </xf>
    <xf numFmtId="49" fontId="3" fillId="0" borderId="22" xfId="0" applyNumberFormat="1" applyFont="1" applyFill="1" applyBorder="1" applyAlignment="1" applyProtection="1">
      <alignment horizontal="left" vertical="center"/>
      <protection/>
    </xf>
    <xf numFmtId="49" fontId="6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9" fontId="3" fillId="0" borderId="23" xfId="0" applyNumberFormat="1" applyFont="1" applyFill="1" applyBorder="1" applyAlignment="1" applyProtection="1">
      <alignment horizontal="right" vertical="center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/>
    </xf>
    <xf numFmtId="49" fontId="7" fillId="33" borderId="13" xfId="0" applyNumberFormat="1" applyFont="1" applyFill="1" applyBorder="1" applyAlignment="1" applyProtection="1">
      <alignment horizontal="left" vertical="center"/>
      <protection/>
    </xf>
    <xf numFmtId="49" fontId="3" fillId="0" borderId="33" xfId="0" applyNumberFormat="1" applyFont="1" applyFill="1" applyBorder="1" applyAlignment="1" applyProtection="1">
      <alignment horizontal="right" vertical="center"/>
      <protection/>
    </xf>
    <xf numFmtId="49" fontId="3" fillId="0" borderId="34" xfId="0" applyNumberFormat="1" applyFont="1" applyFill="1" applyBorder="1" applyAlignment="1" applyProtection="1">
      <alignment horizontal="right" vertical="center"/>
      <protection/>
    </xf>
    <xf numFmtId="4" fontId="5" fillId="0" borderId="38" xfId="0" applyNumberFormat="1" applyFont="1" applyFill="1" applyBorder="1" applyAlignment="1" applyProtection="1">
      <alignment horizontal="right" vertical="center"/>
      <protection/>
    </xf>
    <xf numFmtId="4" fontId="5" fillId="0" borderId="39" xfId="0" applyNumberFormat="1" applyFont="1" applyFill="1" applyBorder="1" applyAlignment="1" applyProtection="1">
      <alignment horizontal="right" vertical="center"/>
      <protection/>
    </xf>
    <xf numFmtId="49" fontId="3" fillId="0" borderId="32" xfId="0" applyNumberFormat="1" applyFont="1" applyFill="1" applyBorder="1" applyAlignment="1" applyProtection="1">
      <alignment horizontal="right" vertical="center"/>
      <protection/>
    </xf>
    <xf numFmtId="4" fontId="7" fillId="33" borderId="40" xfId="0" applyNumberFormat="1" applyFont="1" applyFill="1" applyBorder="1" applyAlignment="1" applyProtection="1">
      <alignment horizontal="right" vertical="center"/>
      <protection/>
    </xf>
    <xf numFmtId="4" fontId="7" fillId="33" borderId="38" xfId="0" applyNumberFormat="1" applyFont="1" applyFill="1" applyBorder="1" applyAlignment="1" applyProtection="1">
      <alignment horizontal="right" vertical="center"/>
      <protection/>
    </xf>
    <xf numFmtId="4" fontId="7" fillId="33" borderId="41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Fill="1" applyBorder="1" applyAlignment="1" applyProtection="1">
      <alignment horizontal="right" vertical="center"/>
      <protection/>
    </xf>
    <xf numFmtId="4" fontId="7" fillId="33" borderId="30" xfId="0" applyNumberFormat="1" applyFont="1" applyFill="1" applyBorder="1" applyAlignment="1" applyProtection="1">
      <alignment horizontal="right" vertical="center"/>
      <protection/>
    </xf>
    <xf numFmtId="4" fontId="5" fillId="0" borderId="42" xfId="0" applyNumberFormat="1" applyFont="1" applyFill="1" applyBorder="1" applyAlignment="1" applyProtection="1">
      <alignment horizontal="right" vertical="center"/>
      <protection/>
    </xf>
    <xf numFmtId="4" fontId="7" fillId="33" borderId="27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Fill="1" applyBorder="1" applyAlignment="1" applyProtection="1">
      <alignment horizontal="right" vertical="center"/>
      <protection/>
    </xf>
    <xf numFmtId="4" fontId="7" fillId="33" borderId="28" xfId="0" applyNumberFormat="1" applyFont="1" applyFill="1" applyBorder="1" applyAlignment="1" applyProtection="1">
      <alignment horizontal="right" vertical="center"/>
      <protection/>
    </xf>
    <xf numFmtId="4" fontId="5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9" fillId="34" borderId="43" xfId="0" applyNumberFormat="1" applyFont="1" applyFill="1" applyBorder="1" applyAlignment="1" applyProtection="1">
      <alignment horizontal="center" vertical="center"/>
      <protection/>
    </xf>
    <xf numFmtId="49" fontId="10" fillId="0" borderId="44" xfId="0" applyNumberFormat="1" applyFont="1" applyFill="1" applyBorder="1" applyAlignment="1" applyProtection="1">
      <alignment horizontal="left" vertical="center"/>
      <protection/>
    </xf>
    <xf numFmtId="49" fontId="10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vertical="center"/>
      <protection/>
    </xf>
    <xf numFmtId="49" fontId="1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11" fillId="0" borderId="43" xfId="0" applyNumberFormat="1" applyFont="1" applyFill="1" applyBorder="1" applyAlignment="1" applyProtection="1">
      <alignment horizontal="right" vertical="center"/>
      <protection/>
    </xf>
    <xf numFmtId="49" fontId="11" fillId="0" borderId="43" xfId="0" applyNumberFormat="1" applyFont="1" applyFill="1" applyBorder="1" applyAlignment="1" applyProtection="1">
      <alignment horizontal="right" vertical="center"/>
      <protection/>
    </xf>
    <xf numFmtId="4" fontId="11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" fontId="10" fillId="34" borderId="48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49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0" xfId="0" applyNumberFormat="1" applyFont="1" applyFill="1" applyBorder="1" applyAlignment="1" applyProtection="1">
      <alignment horizontal="left" vertical="center"/>
      <protection/>
    </xf>
    <xf numFmtId="0" fontId="1" fillId="0" borderId="51" xfId="0" applyNumberFormat="1" applyFont="1" applyFill="1" applyBorder="1" applyAlignment="1" applyProtection="1">
      <alignment horizontal="left" vertical="center"/>
      <protection/>
    </xf>
    <xf numFmtId="0" fontId="1" fillId="0" borderId="52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54" xfId="0" applyNumberFormat="1" applyFont="1" applyFill="1" applyBorder="1" applyAlignment="1" applyProtection="1">
      <alignment horizontal="center" vertical="center"/>
      <protection/>
    </xf>
    <xf numFmtId="0" fontId="3" fillId="0" borderId="55" xfId="0" applyNumberFormat="1" applyFont="1" applyFill="1" applyBorder="1" applyAlignment="1" applyProtection="1">
      <alignment horizontal="center" vertical="center"/>
      <protection/>
    </xf>
    <xf numFmtId="49" fontId="3" fillId="0" borderId="50" xfId="0" applyNumberFormat="1" applyFont="1" applyFill="1" applyBorder="1" applyAlignment="1" applyProtection="1">
      <alignment horizontal="left" vertical="center"/>
      <protection/>
    </xf>
    <xf numFmtId="0" fontId="3" fillId="0" borderId="52" xfId="0" applyNumberFormat="1" applyFont="1" applyFill="1" applyBorder="1" applyAlignment="1" applyProtection="1">
      <alignment horizontal="left" vertical="center"/>
      <protection/>
    </xf>
    <xf numFmtId="49" fontId="7" fillId="33" borderId="18" xfId="0" applyNumberFormat="1" applyFont="1" applyFill="1" applyBorder="1" applyAlignment="1" applyProtection="1">
      <alignment horizontal="left" vertical="center"/>
      <protection/>
    </xf>
    <xf numFmtId="0" fontId="7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0" fontId="7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 vertical="center" wrapText="1"/>
      <protection/>
    </xf>
    <xf numFmtId="0" fontId="1" fillId="0" borderId="28" xfId="0" applyNumberFormat="1" applyFont="1" applyFill="1" applyBorder="1" applyAlignment="1" applyProtection="1">
      <alignment horizontal="left" vertical="center" wrapText="1"/>
      <protection/>
    </xf>
    <xf numFmtId="49" fontId="3" fillId="0" borderId="56" xfId="0" applyNumberFormat="1" applyFont="1" applyFill="1" applyBorder="1" applyAlignment="1" applyProtection="1">
      <alignment horizontal="left" vertical="center"/>
      <protection/>
    </xf>
    <xf numFmtId="0" fontId="3" fillId="0" borderId="57" xfId="0" applyNumberFormat="1" applyFont="1" applyFill="1" applyBorder="1" applyAlignment="1" applyProtection="1">
      <alignment horizontal="left" vertical="center"/>
      <protection/>
    </xf>
    <xf numFmtId="49" fontId="3" fillId="0" borderId="58" xfId="0" applyNumberFormat="1" applyFont="1" applyFill="1" applyBorder="1" applyAlignment="1" applyProtection="1">
      <alignment horizontal="right" vertical="center"/>
      <protection/>
    </xf>
    <xf numFmtId="0" fontId="3" fillId="0" borderId="46" xfId="0" applyNumberFormat="1" applyFont="1" applyFill="1" applyBorder="1" applyAlignment="1" applyProtection="1">
      <alignment horizontal="right" vertical="center"/>
      <protection/>
    </xf>
    <xf numFmtId="0" fontId="3" fillId="0" borderId="59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49" fontId="3" fillId="0" borderId="60" xfId="0" applyNumberFormat="1" applyFont="1" applyFill="1" applyBorder="1" applyAlignment="1" applyProtection="1">
      <alignment horizontal="left" vertical="center"/>
      <protection/>
    </xf>
    <xf numFmtId="0" fontId="3" fillId="0" borderId="61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47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49" fontId="8" fillId="0" borderId="62" xfId="0" applyNumberFormat="1" applyFont="1" applyFill="1" applyBorder="1" applyAlignment="1" applyProtection="1">
      <alignment horizontal="center" vertical="center"/>
      <protection/>
    </xf>
    <xf numFmtId="0" fontId="8" fillId="0" borderId="62" xfId="0" applyNumberFormat="1" applyFont="1" applyFill="1" applyBorder="1" applyAlignment="1" applyProtection="1">
      <alignment horizontal="center" vertical="center"/>
      <protection/>
    </xf>
    <xf numFmtId="49" fontId="12" fillId="0" borderId="63" xfId="0" applyNumberFormat="1" applyFont="1" applyFill="1" applyBorder="1" applyAlignment="1" applyProtection="1">
      <alignment horizontal="left" vertical="center"/>
      <protection/>
    </xf>
    <xf numFmtId="0" fontId="12" fillId="0" borderId="48" xfId="0" applyNumberFormat="1" applyFont="1" applyFill="1" applyBorder="1" applyAlignment="1" applyProtection="1">
      <alignment horizontal="left" vertical="center"/>
      <protection/>
    </xf>
    <xf numFmtId="49" fontId="11" fillId="0" borderId="63" xfId="0" applyNumberFormat="1" applyFont="1" applyFill="1" applyBorder="1" applyAlignment="1" applyProtection="1">
      <alignment horizontal="left" vertical="center"/>
      <protection/>
    </xf>
    <xf numFmtId="0" fontId="11" fillId="0" borderId="48" xfId="0" applyNumberFormat="1" applyFont="1" applyFill="1" applyBorder="1" applyAlignment="1" applyProtection="1">
      <alignment horizontal="left" vertical="center"/>
      <protection/>
    </xf>
    <xf numFmtId="49" fontId="10" fillId="0" borderId="63" xfId="0" applyNumberFormat="1" applyFont="1" applyFill="1" applyBorder="1" applyAlignment="1" applyProtection="1">
      <alignment horizontal="left" vertical="center"/>
      <protection/>
    </xf>
    <xf numFmtId="0" fontId="10" fillId="0" borderId="48" xfId="0" applyNumberFormat="1" applyFont="1" applyFill="1" applyBorder="1" applyAlignment="1" applyProtection="1">
      <alignment horizontal="left" vertical="center"/>
      <protection/>
    </xf>
    <xf numFmtId="49" fontId="10" fillId="34" borderId="63" xfId="0" applyNumberFormat="1" applyFont="1" applyFill="1" applyBorder="1" applyAlignment="1" applyProtection="1">
      <alignment horizontal="left" vertical="center"/>
      <protection/>
    </xf>
    <xf numFmtId="0" fontId="10" fillId="34" borderId="62" xfId="0" applyNumberFormat="1" applyFont="1" applyFill="1" applyBorder="1" applyAlignment="1" applyProtection="1">
      <alignment horizontal="left" vertical="center"/>
      <protection/>
    </xf>
    <xf numFmtId="49" fontId="11" fillId="0" borderId="41" xfId="0" applyNumberFormat="1" applyFont="1" applyFill="1" applyBorder="1" applyAlignment="1" applyProtection="1">
      <alignment horizontal="left" vertical="center"/>
      <protection/>
    </xf>
    <xf numFmtId="0" fontId="11" fillId="0" borderId="18" xfId="0" applyNumberFormat="1" applyFont="1" applyFill="1" applyBorder="1" applyAlignment="1" applyProtection="1">
      <alignment horizontal="left" vertical="center"/>
      <protection/>
    </xf>
    <xf numFmtId="0" fontId="11" fillId="0" borderId="40" xfId="0" applyNumberFormat="1" applyFont="1" applyFill="1" applyBorder="1" applyAlignment="1" applyProtection="1">
      <alignment horizontal="left" vertical="center"/>
      <protection/>
    </xf>
    <xf numFmtId="49" fontId="11" fillId="0" borderId="3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38" xfId="0" applyNumberFormat="1" applyFont="1" applyFill="1" applyBorder="1" applyAlignment="1" applyProtection="1">
      <alignment horizontal="left" vertical="center"/>
      <protection/>
    </xf>
    <xf numFmtId="49" fontId="11" fillId="0" borderId="64" xfId="0" applyNumberFormat="1" applyFont="1" applyFill="1" applyBorder="1" applyAlignment="1" applyProtection="1">
      <alignment horizontal="left" vertical="center"/>
      <protection/>
    </xf>
    <xf numFmtId="0" fontId="11" fillId="0" borderId="51" xfId="0" applyNumberFormat="1" applyFont="1" applyFill="1" applyBorder="1" applyAlignment="1" applyProtection="1">
      <alignment horizontal="left" vertical="center"/>
      <protection/>
    </xf>
    <xf numFmtId="0" fontId="11" fillId="0" borderId="65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E30" sqref="E30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1.421875" style="0" customWidth="1"/>
    <col min="5" max="5" width="43.8515625" style="0" customWidth="1"/>
    <col min="6" max="6" width="4.28125" style="0" customWidth="1"/>
    <col min="7" max="7" width="12.8515625" style="0" customWidth="1"/>
    <col min="8" max="8" width="12.00390625" style="0" customWidth="1"/>
    <col min="9" max="11" width="14.28125" style="0" customWidth="1"/>
    <col min="12" max="14" width="11.7109375" style="0" customWidth="1"/>
    <col min="15" max="24" width="11.57421875" style="0" customWidth="1"/>
    <col min="25" max="64" width="12.140625" style="0" hidden="1" customWidth="1"/>
  </cols>
  <sheetData>
    <row r="1" spans="1:14" ht="72.7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5" ht="12.75">
      <c r="A2" s="103" t="s">
        <v>1</v>
      </c>
      <c r="B2" s="104"/>
      <c r="C2" s="104"/>
      <c r="D2" s="107" t="s">
        <v>31</v>
      </c>
      <c r="E2" s="108"/>
      <c r="F2" s="108"/>
      <c r="G2" s="110" t="s">
        <v>51</v>
      </c>
      <c r="H2" s="104"/>
      <c r="I2" s="110" t="s">
        <v>6</v>
      </c>
      <c r="J2" s="111" t="s">
        <v>62</v>
      </c>
      <c r="K2" s="110" t="s">
        <v>168</v>
      </c>
      <c r="L2" s="104"/>
      <c r="M2" s="104"/>
      <c r="N2" s="112"/>
      <c r="O2" s="35"/>
    </row>
    <row r="3" spans="1:15" ht="12.75">
      <c r="A3" s="105"/>
      <c r="B3" s="106"/>
      <c r="C3" s="106"/>
      <c r="D3" s="109"/>
      <c r="E3" s="109"/>
      <c r="F3" s="109"/>
      <c r="G3" s="106"/>
      <c r="H3" s="106"/>
      <c r="I3" s="106"/>
      <c r="J3" s="106"/>
      <c r="K3" s="106"/>
      <c r="L3" s="106"/>
      <c r="M3" s="106"/>
      <c r="N3" s="113"/>
      <c r="O3" s="35"/>
    </row>
    <row r="4" spans="1:15" ht="12.75">
      <c r="A4" s="114" t="s">
        <v>2</v>
      </c>
      <c r="B4" s="106"/>
      <c r="C4" s="106"/>
      <c r="D4" s="115" t="s">
        <v>164</v>
      </c>
      <c r="E4" s="106"/>
      <c r="F4" s="106"/>
      <c r="G4" s="116" t="s">
        <v>52</v>
      </c>
      <c r="H4" s="106"/>
      <c r="I4" s="116"/>
      <c r="J4" s="115" t="s">
        <v>63</v>
      </c>
      <c r="K4" s="116" t="s">
        <v>67</v>
      </c>
      <c r="L4" s="106"/>
      <c r="M4" s="106"/>
      <c r="N4" s="113"/>
      <c r="O4" s="35"/>
    </row>
    <row r="5" spans="1:15" ht="12.75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13"/>
      <c r="O5" s="35"/>
    </row>
    <row r="6" spans="1:15" ht="12.75">
      <c r="A6" s="114" t="s">
        <v>3</v>
      </c>
      <c r="B6" s="106"/>
      <c r="C6" s="106"/>
      <c r="D6" s="115" t="s">
        <v>165</v>
      </c>
      <c r="E6" s="106"/>
      <c r="F6" s="106"/>
      <c r="G6" s="116" t="s">
        <v>53</v>
      </c>
      <c r="H6" s="106"/>
      <c r="I6" s="116" t="s">
        <v>6</v>
      </c>
      <c r="J6" s="115" t="s">
        <v>64</v>
      </c>
      <c r="K6" s="116" t="s">
        <v>169</v>
      </c>
      <c r="L6" s="106"/>
      <c r="M6" s="106"/>
      <c r="N6" s="113"/>
      <c r="O6" s="35"/>
    </row>
    <row r="7" spans="1:15" ht="12.75">
      <c r="A7" s="105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13"/>
      <c r="O7" s="35"/>
    </row>
    <row r="8" spans="1:15" ht="12.75">
      <c r="A8" s="114" t="s">
        <v>4</v>
      </c>
      <c r="B8" s="106"/>
      <c r="C8" s="106"/>
      <c r="D8" s="115" t="s">
        <v>6</v>
      </c>
      <c r="E8" s="106"/>
      <c r="F8" s="106"/>
      <c r="G8" s="116" t="s">
        <v>54</v>
      </c>
      <c r="H8" s="106"/>
      <c r="I8" s="116" t="s">
        <v>166</v>
      </c>
      <c r="J8" s="115" t="s">
        <v>65</v>
      </c>
      <c r="K8" s="116" t="s">
        <v>167</v>
      </c>
      <c r="L8" s="106"/>
      <c r="M8" s="106"/>
      <c r="N8" s="113"/>
      <c r="O8" s="35"/>
    </row>
    <row r="9" spans="1:15" ht="12.75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9"/>
      <c r="O9" s="35"/>
    </row>
    <row r="10" spans="1:64" ht="12.75">
      <c r="A10" s="1" t="s">
        <v>5</v>
      </c>
      <c r="B10" s="9" t="s">
        <v>16</v>
      </c>
      <c r="C10" s="9" t="s">
        <v>17</v>
      </c>
      <c r="D10" s="120" t="s">
        <v>32</v>
      </c>
      <c r="E10" s="121"/>
      <c r="F10" s="9" t="s">
        <v>47</v>
      </c>
      <c r="G10" s="18" t="s">
        <v>55</v>
      </c>
      <c r="H10" s="21" t="s">
        <v>56</v>
      </c>
      <c r="I10" s="122" t="s">
        <v>59</v>
      </c>
      <c r="J10" s="123"/>
      <c r="K10" s="124"/>
      <c r="L10" s="122" t="s">
        <v>69</v>
      </c>
      <c r="M10" s="124"/>
      <c r="N10" s="29" t="s">
        <v>71</v>
      </c>
      <c r="O10" s="36"/>
      <c r="BK10" s="28" t="s">
        <v>94</v>
      </c>
      <c r="BL10" s="40" t="s">
        <v>96</v>
      </c>
    </row>
    <row r="11" spans="1:62" ht="12.75">
      <c r="A11" s="2" t="s">
        <v>6</v>
      </c>
      <c r="B11" s="10" t="s">
        <v>6</v>
      </c>
      <c r="C11" s="10" t="s">
        <v>6</v>
      </c>
      <c r="D11" s="125" t="s">
        <v>33</v>
      </c>
      <c r="E11" s="126"/>
      <c r="F11" s="10" t="s">
        <v>6</v>
      </c>
      <c r="G11" s="10" t="s">
        <v>6</v>
      </c>
      <c r="H11" s="22" t="s">
        <v>57</v>
      </c>
      <c r="I11" s="23" t="s">
        <v>60</v>
      </c>
      <c r="J11" s="25" t="s">
        <v>66</v>
      </c>
      <c r="K11" s="26" t="s">
        <v>68</v>
      </c>
      <c r="L11" s="23" t="s">
        <v>70</v>
      </c>
      <c r="M11" s="26" t="s">
        <v>68</v>
      </c>
      <c r="N11" s="30" t="s">
        <v>72</v>
      </c>
      <c r="O11" s="36"/>
      <c r="Z11" s="28" t="s">
        <v>73</v>
      </c>
      <c r="AA11" s="28" t="s">
        <v>74</v>
      </c>
      <c r="AB11" s="28" t="s">
        <v>75</v>
      </c>
      <c r="AC11" s="28" t="s">
        <v>76</v>
      </c>
      <c r="AD11" s="28" t="s">
        <v>77</v>
      </c>
      <c r="AE11" s="28" t="s">
        <v>78</v>
      </c>
      <c r="AF11" s="28" t="s">
        <v>79</v>
      </c>
      <c r="AG11" s="28" t="s">
        <v>80</v>
      </c>
      <c r="AH11" s="28" t="s">
        <v>81</v>
      </c>
      <c r="BH11" s="28" t="s">
        <v>91</v>
      </c>
      <c r="BI11" s="28" t="s">
        <v>92</v>
      </c>
      <c r="BJ11" s="28" t="s">
        <v>93</v>
      </c>
    </row>
    <row r="12" spans="1:47" ht="12.75">
      <c r="A12" s="3"/>
      <c r="B12" s="11"/>
      <c r="C12" s="11" t="s">
        <v>18</v>
      </c>
      <c r="D12" s="127" t="s">
        <v>34</v>
      </c>
      <c r="E12" s="128"/>
      <c r="F12" s="15" t="s">
        <v>6</v>
      </c>
      <c r="G12" s="15" t="s">
        <v>6</v>
      </c>
      <c r="H12" s="15" t="s">
        <v>6</v>
      </c>
      <c r="I12" s="41">
        <f>SUM(I13:I14)</f>
        <v>0</v>
      </c>
      <c r="J12" s="41">
        <f>SUM(J13:J14)</f>
        <v>0</v>
      </c>
      <c r="K12" s="41">
        <f>SUM(K13:K14)</f>
        <v>0</v>
      </c>
      <c r="L12" s="27"/>
      <c r="M12" s="41">
        <f>SUM(M13:M14)</f>
        <v>201.025</v>
      </c>
      <c r="N12" s="31"/>
      <c r="O12" s="35"/>
      <c r="AI12" s="28"/>
      <c r="AS12" s="42">
        <f>SUM(AJ13:AJ14)</f>
        <v>0</v>
      </c>
      <c r="AT12" s="42">
        <f>SUM(AK13:AK14)</f>
        <v>0</v>
      </c>
      <c r="AU12" s="42">
        <f>SUM(AL13:AL14)</f>
        <v>0</v>
      </c>
    </row>
    <row r="13" spans="1:64" ht="12.75">
      <c r="A13" s="4" t="s">
        <v>7</v>
      </c>
      <c r="B13" s="12"/>
      <c r="C13" s="12" t="s">
        <v>19</v>
      </c>
      <c r="D13" s="129" t="s">
        <v>35</v>
      </c>
      <c r="E13" s="130"/>
      <c r="F13" s="12" t="s">
        <v>48</v>
      </c>
      <c r="G13" s="19">
        <v>600</v>
      </c>
      <c r="H13" s="19">
        <v>0</v>
      </c>
      <c r="I13" s="19">
        <f>G13*AO13</f>
        <v>0</v>
      </c>
      <c r="J13" s="19">
        <f>G13*AP13</f>
        <v>0</v>
      </c>
      <c r="K13" s="19">
        <f>G13*H13</f>
        <v>0</v>
      </c>
      <c r="L13" s="19">
        <v>0.154</v>
      </c>
      <c r="M13" s="19">
        <f>G13*L13</f>
        <v>92.4</v>
      </c>
      <c r="N13" s="32"/>
      <c r="O13" s="35"/>
      <c r="Z13" s="37">
        <f>IF(AQ13="5",BJ13,0)</f>
        <v>0</v>
      </c>
      <c r="AB13" s="37">
        <f>IF(AQ13="1",BH13,0)</f>
        <v>0</v>
      </c>
      <c r="AC13" s="37">
        <f>IF(AQ13="1",BI13,0)</f>
        <v>0</v>
      </c>
      <c r="AD13" s="37">
        <f>IF(AQ13="7",BH13,0)</f>
        <v>0</v>
      </c>
      <c r="AE13" s="37">
        <f>IF(AQ13="7",BI13,0)</f>
        <v>0</v>
      </c>
      <c r="AF13" s="37">
        <f>IF(AQ13="2",BH13,0)</f>
        <v>0</v>
      </c>
      <c r="AG13" s="37">
        <f>IF(AQ13="2",BI13,0)</f>
        <v>0</v>
      </c>
      <c r="AH13" s="37">
        <f>IF(AQ13="0",BJ13,0)</f>
        <v>0</v>
      </c>
      <c r="AI13" s="28"/>
      <c r="AJ13" s="19">
        <f>IF(AN13=0,K13,0)</f>
        <v>0</v>
      </c>
      <c r="AK13" s="19">
        <f>IF(AN13=15,K13,0)</f>
        <v>0</v>
      </c>
      <c r="AL13" s="19">
        <f>IF(AN13=21,K13,0)</f>
        <v>0</v>
      </c>
      <c r="AN13" s="37">
        <v>21</v>
      </c>
      <c r="AO13" s="37">
        <f>H13*0</f>
        <v>0</v>
      </c>
      <c r="AP13" s="37">
        <f>H13*(1-0)</f>
        <v>0</v>
      </c>
      <c r="AQ13" s="38" t="s">
        <v>7</v>
      </c>
      <c r="AV13" s="37">
        <f>AW13+AX13</f>
        <v>0</v>
      </c>
      <c r="AW13" s="37">
        <f>G13*AO13</f>
        <v>0</v>
      </c>
      <c r="AX13" s="37">
        <f>G13*AP13</f>
        <v>0</v>
      </c>
      <c r="AY13" s="39" t="s">
        <v>82</v>
      </c>
      <c r="AZ13" s="39" t="s">
        <v>87</v>
      </c>
      <c r="BA13" s="28" t="s">
        <v>90</v>
      </c>
      <c r="BC13" s="37">
        <f>AW13+AX13</f>
        <v>0</v>
      </c>
      <c r="BD13" s="37">
        <f>H13/(100-BE13)*100</f>
        <v>0</v>
      </c>
      <c r="BE13" s="37">
        <v>0</v>
      </c>
      <c r="BF13" s="37">
        <f>M13</f>
        <v>92.4</v>
      </c>
      <c r="BH13" s="19">
        <f>G13*AO13</f>
        <v>0</v>
      </c>
      <c r="BI13" s="19">
        <f>G13*AP13</f>
        <v>0</v>
      </c>
      <c r="BJ13" s="19">
        <f>G13*H13</f>
        <v>0</v>
      </c>
      <c r="BK13" s="19" t="s">
        <v>95</v>
      </c>
      <c r="BL13" s="37">
        <v>11</v>
      </c>
    </row>
    <row r="14" spans="1:64" ht="12.75">
      <c r="A14" s="4" t="s">
        <v>8</v>
      </c>
      <c r="B14" s="12"/>
      <c r="C14" s="12" t="s">
        <v>20</v>
      </c>
      <c r="D14" s="129" t="s">
        <v>36</v>
      </c>
      <c r="E14" s="130"/>
      <c r="F14" s="12" t="s">
        <v>48</v>
      </c>
      <c r="G14" s="19">
        <v>987.5</v>
      </c>
      <c r="H14" s="19">
        <v>0</v>
      </c>
      <c r="I14" s="19">
        <f>G14*AO14</f>
        <v>0</v>
      </c>
      <c r="J14" s="19">
        <f>G14*AP14</f>
        <v>0</v>
      </c>
      <c r="K14" s="19">
        <f>G14*H14</f>
        <v>0</v>
      </c>
      <c r="L14" s="19">
        <v>0.11</v>
      </c>
      <c r="M14" s="19">
        <f>G14*L14</f>
        <v>108.625</v>
      </c>
      <c r="N14" s="32"/>
      <c r="O14" s="35"/>
      <c r="Z14" s="37">
        <f>IF(AQ14="5",BJ14,0)</f>
        <v>0</v>
      </c>
      <c r="AB14" s="37">
        <f>IF(AQ14="1",BH14,0)</f>
        <v>0</v>
      </c>
      <c r="AC14" s="37">
        <f>IF(AQ14="1",BI14,0)</f>
        <v>0</v>
      </c>
      <c r="AD14" s="37">
        <f>IF(AQ14="7",BH14,0)</f>
        <v>0</v>
      </c>
      <c r="AE14" s="37">
        <f>IF(AQ14="7",BI14,0)</f>
        <v>0</v>
      </c>
      <c r="AF14" s="37">
        <f>IF(AQ14="2",BH14,0)</f>
        <v>0</v>
      </c>
      <c r="AG14" s="37">
        <f>IF(AQ14="2",BI14,0)</f>
        <v>0</v>
      </c>
      <c r="AH14" s="37">
        <f>IF(AQ14="0",BJ14,0)</f>
        <v>0</v>
      </c>
      <c r="AI14" s="28"/>
      <c r="AJ14" s="19">
        <f>IF(AN14=0,K14,0)</f>
        <v>0</v>
      </c>
      <c r="AK14" s="19">
        <f>IF(AN14=15,K14,0)</f>
        <v>0</v>
      </c>
      <c r="AL14" s="19">
        <f>IF(AN14=21,K14,0)</f>
        <v>0</v>
      </c>
      <c r="AN14" s="37">
        <v>21</v>
      </c>
      <c r="AO14" s="37">
        <f>H14*0</f>
        <v>0</v>
      </c>
      <c r="AP14" s="37">
        <f>H14*(1-0)</f>
        <v>0</v>
      </c>
      <c r="AQ14" s="38" t="s">
        <v>7</v>
      </c>
      <c r="AV14" s="37">
        <f>AW14+AX14</f>
        <v>0</v>
      </c>
      <c r="AW14" s="37">
        <f>G14*AO14</f>
        <v>0</v>
      </c>
      <c r="AX14" s="37">
        <f>G14*AP14</f>
        <v>0</v>
      </c>
      <c r="AY14" s="39" t="s">
        <v>82</v>
      </c>
      <c r="AZ14" s="39" t="s">
        <v>87</v>
      </c>
      <c r="BA14" s="28" t="s">
        <v>90</v>
      </c>
      <c r="BC14" s="37">
        <f>AW14+AX14</f>
        <v>0</v>
      </c>
      <c r="BD14" s="37">
        <f>H14/(100-BE14)*100</f>
        <v>0</v>
      </c>
      <c r="BE14" s="37">
        <v>0</v>
      </c>
      <c r="BF14" s="37">
        <f>M14</f>
        <v>108.625</v>
      </c>
      <c r="BH14" s="19">
        <f>G14*AO14</f>
        <v>0</v>
      </c>
      <c r="BI14" s="19">
        <f>G14*AP14</f>
        <v>0</v>
      </c>
      <c r="BJ14" s="19">
        <f>G14*H14</f>
        <v>0</v>
      </c>
      <c r="BK14" s="19" t="s">
        <v>95</v>
      </c>
      <c r="BL14" s="37">
        <v>11</v>
      </c>
    </row>
    <row r="15" spans="1:47" ht="12.75">
      <c r="A15" s="5"/>
      <c r="B15" s="13"/>
      <c r="C15" s="13" t="s">
        <v>21</v>
      </c>
      <c r="D15" s="131" t="s">
        <v>37</v>
      </c>
      <c r="E15" s="132"/>
      <c r="F15" s="16" t="s">
        <v>6</v>
      </c>
      <c r="G15" s="16" t="s">
        <v>6</v>
      </c>
      <c r="H15" s="16" t="s">
        <v>6</v>
      </c>
      <c r="I15" s="42">
        <f>SUM(I16:I18)</f>
        <v>0</v>
      </c>
      <c r="J15" s="42">
        <f>SUM(J16:J18)</f>
        <v>0</v>
      </c>
      <c r="K15" s="42">
        <f>SUM(K16:K18)</f>
        <v>0</v>
      </c>
      <c r="L15" s="28"/>
      <c r="M15" s="42">
        <f>SUM(M16:M18)</f>
        <v>269.835775</v>
      </c>
      <c r="N15" s="33"/>
      <c r="O15" s="35"/>
      <c r="AI15" s="28"/>
      <c r="AS15" s="42">
        <f>SUM(AJ16:AJ18)</f>
        <v>0</v>
      </c>
      <c r="AT15" s="42">
        <f>SUM(AK16:AK18)</f>
        <v>0</v>
      </c>
      <c r="AU15" s="42">
        <f>SUM(AL16:AL18)</f>
        <v>0</v>
      </c>
    </row>
    <row r="16" spans="1:64" ht="12.75">
      <c r="A16" s="4" t="s">
        <v>9</v>
      </c>
      <c r="B16" s="12"/>
      <c r="C16" s="12" t="s">
        <v>22</v>
      </c>
      <c r="D16" s="129" t="s">
        <v>38</v>
      </c>
      <c r="E16" s="130"/>
      <c r="F16" s="12" t="s">
        <v>48</v>
      </c>
      <c r="G16" s="19">
        <v>600</v>
      </c>
      <c r="H16" s="19">
        <v>0</v>
      </c>
      <c r="I16" s="19">
        <f>G16*AO16</f>
        <v>0</v>
      </c>
      <c r="J16" s="19">
        <f>G16*AP16</f>
        <v>0</v>
      </c>
      <c r="K16" s="19">
        <f>G16*H16</f>
        <v>0</v>
      </c>
      <c r="L16" s="19">
        <v>0.18152</v>
      </c>
      <c r="M16" s="19">
        <f>G16*L16</f>
        <v>108.91199999999999</v>
      </c>
      <c r="N16" s="32"/>
      <c r="O16" s="35"/>
      <c r="Z16" s="37">
        <f>IF(AQ16="5",BJ16,0)</f>
        <v>0</v>
      </c>
      <c r="AB16" s="37">
        <f>IF(AQ16="1",BH16,0)</f>
        <v>0</v>
      </c>
      <c r="AC16" s="37">
        <f>IF(AQ16="1",BI16,0)</f>
        <v>0</v>
      </c>
      <c r="AD16" s="37">
        <f>IF(AQ16="7",BH16,0)</f>
        <v>0</v>
      </c>
      <c r="AE16" s="37">
        <f>IF(AQ16="7",BI16,0)</f>
        <v>0</v>
      </c>
      <c r="AF16" s="37">
        <f>IF(AQ16="2",BH16,0)</f>
        <v>0</v>
      </c>
      <c r="AG16" s="37">
        <f>IF(AQ16="2",BI16,0)</f>
        <v>0</v>
      </c>
      <c r="AH16" s="37">
        <f>IF(AQ16="0",BJ16,0)</f>
        <v>0</v>
      </c>
      <c r="AI16" s="28"/>
      <c r="AJ16" s="19">
        <f>IF(AN16=0,K16,0)</f>
        <v>0</v>
      </c>
      <c r="AK16" s="19">
        <f>IF(AN16=15,K16,0)</f>
        <v>0</v>
      </c>
      <c r="AL16" s="19">
        <f>IF(AN16=21,K16,0)</f>
        <v>0</v>
      </c>
      <c r="AN16" s="37">
        <v>21</v>
      </c>
      <c r="AO16" s="37">
        <f>H16*0.634360196043632</f>
        <v>0</v>
      </c>
      <c r="AP16" s="37">
        <f>H16*(1-0.634360196043632)</f>
        <v>0</v>
      </c>
      <c r="AQ16" s="38" t="s">
        <v>7</v>
      </c>
      <c r="AV16" s="37">
        <f>AW16+AX16</f>
        <v>0</v>
      </c>
      <c r="AW16" s="37">
        <f>G16*AO16</f>
        <v>0</v>
      </c>
      <c r="AX16" s="37">
        <f>G16*AP16</f>
        <v>0</v>
      </c>
      <c r="AY16" s="39" t="s">
        <v>83</v>
      </c>
      <c r="AZ16" s="39" t="s">
        <v>88</v>
      </c>
      <c r="BA16" s="28" t="s">
        <v>90</v>
      </c>
      <c r="BC16" s="37">
        <f>AW16+AX16</f>
        <v>0</v>
      </c>
      <c r="BD16" s="37">
        <f>H16/(100-BE16)*100</f>
        <v>0</v>
      </c>
      <c r="BE16" s="37">
        <v>0</v>
      </c>
      <c r="BF16" s="37">
        <f>M16</f>
        <v>108.91199999999999</v>
      </c>
      <c r="BH16" s="19">
        <f>G16*AO16</f>
        <v>0</v>
      </c>
      <c r="BI16" s="19">
        <f>G16*AP16</f>
        <v>0</v>
      </c>
      <c r="BJ16" s="19">
        <f>G16*H16</f>
        <v>0</v>
      </c>
      <c r="BK16" s="19" t="s">
        <v>95</v>
      </c>
      <c r="BL16" s="37">
        <v>57</v>
      </c>
    </row>
    <row r="17" spans="1:64" ht="12.75">
      <c r="A17" s="4" t="s">
        <v>10</v>
      </c>
      <c r="B17" s="12"/>
      <c r="C17" s="12" t="s">
        <v>23</v>
      </c>
      <c r="D17" s="129" t="s">
        <v>39</v>
      </c>
      <c r="E17" s="130"/>
      <c r="F17" s="12" t="s">
        <v>48</v>
      </c>
      <c r="G17" s="19">
        <v>1832.5</v>
      </c>
      <c r="H17" s="19">
        <v>0</v>
      </c>
      <c r="I17" s="19">
        <f>G17*AO17</f>
        <v>0</v>
      </c>
      <c r="J17" s="19">
        <f>G17*AP17</f>
        <v>0</v>
      </c>
      <c r="K17" s="19">
        <f>G17*H17</f>
        <v>0</v>
      </c>
      <c r="L17" s="19">
        <v>0.00061</v>
      </c>
      <c r="M17" s="19">
        <f>G17*L17</f>
        <v>1.1178249999999998</v>
      </c>
      <c r="N17" s="32"/>
      <c r="O17" s="35"/>
      <c r="Z17" s="37">
        <f>IF(AQ17="5",BJ17,0)</f>
        <v>0</v>
      </c>
      <c r="AB17" s="37">
        <f>IF(AQ17="1",BH17,0)</f>
        <v>0</v>
      </c>
      <c r="AC17" s="37">
        <f>IF(AQ17="1",BI17,0)</f>
        <v>0</v>
      </c>
      <c r="AD17" s="37">
        <f>IF(AQ17="7",BH17,0)</f>
        <v>0</v>
      </c>
      <c r="AE17" s="37">
        <f>IF(AQ17="7",BI17,0)</f>
        <v>0</v>
      </c>
      <c r="AF17" s="37">
        <f>IF(AQ17="2",BH17,0)</f>
        <v>0</v>
      </c>
      <c r="AG17" s="37">
        <f>IF(AQ17="2",BI17,0)</f>
        <v>0</v>
      </c>
      <c r="AH17" s="37">
        <f>IF(AQ17="0",BJ17,0)</f>
        <v>0</v>
      </c>
      <c r="AI17" s="28"/>
      <c r="AJ17" s="19">
        <f>IF(AN17=0,K17,0)</f>
        <v>0</v>
      </c>
      <c r="AK17" s="19">
        <f>IF(AN17=15,K17,0)</f>
        <v>0</v>
      </c>
      <c r="AL17" s="19">
        <f>IF(AN17=21,K17,0)</f>
        <v>0</v>
      </c>
      <c r="AN17" s="37">
        <v>21</v>
      </c>
      <c r="AO17" s="37">
        <f>H17*0.931513409961686</f>
        <v>0</v>
      </c>
      <c r="AP17" s="37">
        <f>H17*(1-0.931513409961686)</f>
        <v>0</v>
      </c>
      <c r="AQ17" s="38" t="s">
        <v>7</v>
      </c>
      <c r="AV17" s="37">
        <f>AW17+AX17</f>
        <v>0</v>
      </c>
      <c r="AW17" s="37">
        <f>G17*AO17</f>
        <v>0</v>
      </c>
      <c r="AX17" s="37">
        <f>G17*AP17</f>
        <v>0</v>
      </c>
      <c r="AY17" s="39" t="s">
        <v>83</v>
      </c>
      <c r="AZ17" s="39" t="s">
        <v>88</v>
      </c>
      <c r="BA17" s="28" t="s">
        <v>90</v>
      </c>
      <c r="BC17" s="37">
        <f>AW17+AX17</f>
        <v>0</v>
      </c>
      <c r="BD17" s="37">
        <f>H17/(100-BE17)*100</f>
        <v>0</v>
      </c>
      <c r="BE17" s="37">
        <v>0</v>
      </c>
      <c r="BF17" s="37">
        <f>M17</f>
        <v>1.1178249999999998</v>
      </c>
      <c r="BH17" s="19">
        <f>G17*AO17</f>
        <v>0</v>
      </c>
      <c r="BI17" s="19">
        <f>G17*AP17</f>
        <v>0</v>
      </c>
      <c r="BJ17" s="19">
        <f>G17*H17</f>
        <v>0</v>
      </c>
      <c r="BK17" s="19" t="s">
        <v>95</v>
      </c>
      <c r="BL17" s="37">
        <v>57</v>
      </c>
    </row>
    <row r="18" spans="1:64" ht="12.75">
      <c r="A18" s="4" t="s">
        <v>11</v>
      </c>
      <c r="B18" s="12"/>
      <c r="C18" s="12" t="s">
        <v>24</v>
      </c>
      <c r="D18" s="129" t="s">
        <v>40</v>
      </c>
      <c r="E18" s="130"/>
      <c r="F18" s="12" t="s">
        <v>48</v>
      </c>
      <c r="G18" s="19">
        <v>1232.5</v>
      </c>
      <c r="H18" s="19">
        <v>0</v>
      </c>
      <c r="I18" s="19">
        <f>G18*AO18</f>
        <v>0</v>
      </c>
      <c r="J18" s="19">
        <f>G18*AP18</f>
        <v>0</v>
      </c>
      <c r="K18" s="19">
        <f>G18*H18</f>
        <v>0</v>
      </c>
      <c r="L18" s="19">
        <v>0.12966</v>
      </c>
      <c r="M18" s="19">
        <f>G18*L18</f>
        <v>159.80595</v>
      </c>
      <c r="N18" s="32"/>
      <c r="O18" s="35"/>
      <c r="Z18" s="37">
        <f>IF(AQ18="5",BJ18,0)</f>
        <v>0</v>
      </c>
      <c r="AB18" s="37">
        <f>IF(AQ18="1",BH18,0)</f>
        <v>0</v>
      </c>
      <c r="AC18" s="37">
        <f>IF(AQ18="1",BI18,0)</f>
        <v>0</v>
      </c>
      <c r="AD18" s="37">
        <f>IF(AQ18="7",BH18,0)</f>
        <v>0</v>
      </c>
      <c r="AE18" s="37">
        <f>IF(AQ18="7",BI18,0)</f>
        <v>0</v>
      </c>
      <c r="AF18" s="37">
        <f>IF(AQ18="2",BH18,0)</f>
        <v>0</v>
      </c>
      <c r="AG18" s="37">
        <f>IF(AQ18="2",BI18,0)</f>
        <v>0</v>
      </c>
      <c r="AH18" s="37">
        <f>IF(AQ18="0",BJ18,0)</f>
        <v>0</v>
      </c>
      <c r="AI18" s="28"/>
      <c r="AJ18" s="19">
        <f>IF(AN18=0,K18,0)</f>
        <v>0</v>
      </c>
      <c r="AK18" s="19">
        <f>IF(AN18=15,K18,0)</f>
        <v>0</v>
      </c>
      <c r="AL18" s="19">
        <f>IF(AN18=21,K18,0)</f>
        <v>0</v>
      </c>
      <c r="AN18" s="37">
        <v>21</v>
      </c>
      <c r="AO18" s="37">
        <f>H18*0.636392442652721</f>
        <v>0</v>
      </c>
      <c r="AP18" s="37">
        <f>H18*(1-0.636392442652721)</f>
        <v>0</v>
      </c>
      <c r="AQ18" s="38" t="s">
        <v>7</v>
      </c>
      <c r="AV18" s="37">
        <f>AW18+AX18</f>
        <v>0</v>
      </c>
      <c r="AW18" s="37">
        <f>G18*AO18</f>
        <v>0</v>
      </c>
      <c r="AX18" s="37">
        <f>G18*AP18</f>
        <v>0</v>
      </c>
      <c r="AY18" s="39" t="s">
        <v>83</v>
      </c>
      <c r="AZ18" s="39" t="s">
        <v>88</v>
      </c>
      <c r="BA18" s="28" t="s">
        <v>90</v>
      </c>
      <c r="BC18" s="37">
        <f>AW18+AX18</f>
        <v>0</v>
      </c>
      <c r="BD18" s="37">
        <f>H18/(100-BE18)*100</f>
        <v>0</v>
      </c>
      <c r="BE18" s="37">
        <v>0</v>
      </c>
      <c r="BF18" s="37">
        <f>M18</f>
        <v>159.80595</v>
      </c>
      <c r="BH18" s="19">
        <f>G18*AO18</f>
        <v>0</v>
      </c>
      <c r="BI18" s="19">
        <f>G18*AP18</f>
        <v>0</v>
      </c>
      <c r="BJ18" s="19">
        <f>G18*H18</f>
        <v>0</v>
      </c>
      <c r="BK18" s="19" t="s">
        <v>95</v>
      </c>
      <c r="BL18" s="37">
        <v>57</v>
      </c>
    </row>
    <row r="19" spans="1:47" ht="12.75">
      <c r="A19" s="5"/>
      <c r="B19" s="13"/>
      <c r="C19" s="13" t="s">
        <v>25</v>
      </c>
      <c r="D19" s="131" t="s">
        <v>41</v>
      </c>
      <c r="E19" s="132"/>
      <c r="F19" s="16" t="s">
        <v>6</v>
      </c>
      <c r="G19" s="16" t="s">
        <v>6</v>
      </c>
      <c r="H19" s="16" t="s">
        <v>6</v>
      </c>
      <c r="I19" s="42">
        <f>SUM(I20:I20)</f>
        <v>0</v>
      </c>
      <c r="J19" s="42">
        <f>SUM(J20:J20)</f>
        <v>0</v>
      </c>
      <c r="K19" s="42">
        <f>SUM(K20:K20)</f>
        <v>0</v>
      </c>
      <c r="L19" s="28"/>
      <c r="M19" s="42">
        <f>SUM(M20:M20)</f>
        <v>0.0135</v>
      </c>
      <c r="N19" s="33"/>
      <c r="O19" s="35"/>
      <c r="AI19" s="28"/>
      <c r="AS19" s="42">
        <f>SUM(AJ20:AJ20)</f>
        <v>0</v>
      </c>
      <c r="AT19" s="42">
        <f>SUM(AK20:AK20)</f>
        <v>0</v>
      </c>
      <c r="AU19" s="42">
        <f>SUM(AL20:AL20)</f>
        <v>0</v>
      </c>
    </row>
    <row r="20" spans="1:64" ht="12.75">
      <c r="A20" s="4" t="s">
        <v>12</v>
      </c>
      <c r="B20" s="12"/>
      <c r="C20" s="12" t="s">
        <v>26</v>
      </c>
      <c r="D20" s="129" t="s">
        <v>42</v>
      </c>
      <c r="E20" s="130"/>
      <c r="F20" s="12" t="s">
        <v>49</v>
      </c>
      <c r="G20" s="19">
        <v>135</v>
      </c>
      <c r="H20" s="19">
        <v>0</v>
      </c>
      <c r="I20" s="19">
        <f>G20*AO20</f>
        <v>0</v>
      </c>
      <c r="J20" s="19">
        <f>G20*AP20</f>
        <v>0</v>
      </c>
      <c r="K20" s="19">
        <f>G20*H20</f>
        <v>0</v>
      </c>
      <c r="L20" s="19">
        <v>0.0001</v>
      </c>
      <c r="M20" s="19">
        <f>G20*L20</f>
        <v>0.0135</v>
      </c>
      <c r="N20" s="32"/>
      <c r="O20" s="35"/>
      <c r="Z20" s="37">
        <f>IF(AQ20="5",BJ20,0)</f>
        <v>0</v>
      </c>
      <c r="AB20" s="37">
        <f>IF(AQ20="1",BH20,0)</f>
        <v>0</v>
      </c>
      <c r="AC20" s="37">
        <f>IF(AQ20="1",BI20,0)</f>
        <v>0</v>
      </c>
      <c r="AD20" s="37">
        <f>IF(AQ20="7",BH20,0)</f>
        <v>0</v>
      </c>
      <c r="AE20" s="37">
        <f>IF(AQ20="7",BI20,0)</f>
        <v>0</v>
      </c>
      <c r="AF20" s="37">
        <f>IF(AQ20="2",BH20,0)</f>
        <v>0</v>
      </c>
      <c r="AG20" s="37">
        <f>IF(AQ20="2",BI20,0)</f>
        <v>0</v>
      </c>
      <c r="AH20" s="37">
        <f>IF(AQ20="0",BJ20,0)</f>
        <v>0</v>
      </c>
      <c r="AI20" s="28"/>
      <c r="AJ20" s="19">
        <f>IF(AN20=0,K20,0)</f>
        <v>0</v>
      </c>
      <c r="AK20" s="19">
        <f>IF(AN20=15,K20,0)</f>
        <v>0</v>
      </c>
      <c r="AL20" s="19">
        <f>IF(AN20=21,K20,0)</f>
        <v>0</v>
      </c>
      <c r="AN20" s="37">
        <v>21</v>
      </c>
      <c r="AO20" s="37">
        <f>H20*0.113097892741666</f>
        <v>0</v>
      </c>
      <c r="AP20" s="37">
        <f>H20*(1-0.113097892741666)</f>
        <v>0</v>
      </c>
      <c r="AQ20" s="38" t="s">
        <v>7</v>
      </c>
      <c r="AV20" s="37">
        <f>AW20+AX20</f>
        <v>0</v>
      </c>
      <c r="AW20" s="37">
        <f>G20*AO20</f>
        <v>0</v>
      </c>
      <c r="AX20" s="37">
        <f>G20*AP20</f>
        <v>0</v>
      </c>
      <c r="AY20" s="39" t="s">
        <v>84</v>
      </c>
      <c r="AZ20" s="39" t="s">
        <v>89</v>
      </c>
      <c r="BA20" s="28" t="s">
        <v>90</v>
      </c>
      <c r="BC20" s="37">
        <f>AW20+AX20</f>
        <v>0</v>
      </c>
      <c r="BD20" s="37">
        <f>H20/(100-BE20)*100</f>
        <v>0</v>
      </c>
      <c r="BE20" s="37">
        <v>0</v>
      </c>
      <c r="BF20" s="37">
        <f>M20</f>
        <v>0.0135</v>
      </c>
      <c r="BH20" s="19">
        <f>G20*AO20</f>
        <v>0</v>
      </c>
      <c r="BI20" s="19">
        <f>G20*AP20</f>
        <v>0</v>
      </c>
      <c r="BJ20" s="19">
        <f>G20*H20</f>
        <v>0</v>
      </c>
      <c r="BK20" s="19" t="s">
        <v>95</v>
      </c>
      <c r="BL20" s="37">
        <v>91</v>
      </c>
    </row>
    <row r="21" spans="1:47" ht="12.75">
      <c r="A21" s="5"/>
      <c r="B21" s="13"/>
      <c r="C21" s="13" t="s">
        <v>27</v>
      </c>
      <c r="D21" s="131" t="s">
        <v>43</v>
      </c>
      <c r="E21" s="132"/>
      <c r="F21" s="16" t="s">
        <v>6</v>
      </c>
      <c r="G21" s="16" t="s">
        <v>6</v>
      </c>
      <c r="H21" s="16" t="s">
        <v>6</v>
      </c>
      <c r="I21" s="42">
        <f>SUM(I22:I22)</f>
        <v>0</v>
      </c>
      <c r="J21" s="42">
        <f>SUM(J22:J22)</f>
        <v>0</v>
      </c>
      <c r="K21" s="42">
        <f>SUM(K22:K22)</f>
        <v>0</v>
      </c>
      <c r="L21" s="28"/>
      <c r="M21" s="42">
        <f>SUM(M22:M22)</f>
        <v>0</v>
      </c>
      <c r="N21" s="33"/>
      <c r="O21" s="35"/>
      <c r="AI21" s="28"/>
      <c r="AS21" s="42">
        <f>SUM(AJ22:AJ22)</f>
        <v>0</v>
      </c>
      <c r="AT21" s="42">
        <f>SUM(AK22:AK22)</f>
        <v>0</v>
      </c>
      <c r="AU21" s="42">
        <f>SUM(AL22:AL22)</f>
        <v>0</v>
      </c>
    </row>
    <row r="22" spans="1:64" ht="12.75">
      <c r="A22" s="4" t="s">
        <v>13</v>
      </c>
      <c r="B22" s="12"/>
      <c r="C22" s="12" t="s">
        <v>28</v>
      </c>
      <c r="D22" s="129" t="s">
        <v>44</v>
      </c>
      <c r="E22" s="130"/>
      <c r="F22" s="12" t="s">
        <v>50</v>
      </c>
      <c r="G22" s="19">
        <v>270</v>
      </c>
      <c r="H22" s="19">
        <v>0</v>
      </c>
      <c r="I22" s="19">
        <f>G22*AO22</f>
        <v>0</v>
      </c>
      <c r="J22" s="19">
        <f>G22*AP22</f>
        <v>0</v>
      </c>
      <c r="K22" s="19">
        <f>G22*H22</f>
        <v>0</v>
      </c>
      <c r="L22" s="19">
        <v>0</v>
      </c>
      <c r="M22" s="19">
        <f>G22*L22</f>
        <v>0</v>
      </c>
      <c r="N22" s="32"/>
      <c r="O22" s="35"/>
      <c r="Z22" s="37">
        <f>IF(AQ22="5",BJ22,0)</f>
        <v>0</v>
      </c>
      <c r="AB22" s="37">
        <f>IF(AQ22="1",BH22,0)</f>
        <v>0</v>
      </c>
      <c r="AC22" s="37">
        <f>IF(AQ22="1",BI22,0)</f>
        <v>0</v>
      </c>
      <c r="AD22" s="37">
        <f>IF(AQ22="7",BH22,0)</f>
        <v>0</v>
      </c>
      <c r="AE22" s="37">
        <f>IF(AQ22="7",BI22,0)</f>
        <v>0</v>
      </c>
      <c r="AF22" s="37">
        <f>IF(AQ22="2",BH22,0)</f>
        <v>0</v>
      </c>
      <c r="AG22" s="37">
        <f>IF(AQ22="2",BI22,0)</f>
        <v>0</v>
      </c>
      <c r="AH22" s="37">
        <f>IF(AQ22="0",BJ22,0)</f>
        <v>0</v>
      </c>
      <c r="AI22" s="28"/>
      <c r="AJ22" s="19">
        <f>IF(AN22=0,K22,0)</f>
        <v>0</v>
      </c>
      <c r="AK22" s="19">
        <f>IF(AN22=15,K22,0)</f>
        <v>0</v>
      </c>
      <c r="AL22" s="19">
        <f>IF(AN22=21,K22,0)</f>
        <v>0</v>
      </c>
      <c r="AN22" s="37">
        <v>21</v>
      </c>
      <c r="AO22" s="37">
        <f>H22*0</f>
        <v>0</v>
      </c>
      <c r="AP22" s="37">
        <f>H22*(1-0)</f>
        <v>0</v>
      </c>
      <c r="AQ22" s="38" t="s">
        <v>11</v>
      </c>
      <c r="AV22" s="37">
        <f>AW22+AX22</f>
        <v>0</v>
      </c>
      <c r="AW22" s="37">
        <f>G22*AO22</f>
        <v>0</v>
      </c>
      <c r="AX22" s="37">
        <f>G22*AP22</f>
        <v>0</v>
      </c>
      <c r="AY22" s="39" t="s">
        <v>85</v>
      </c>
      <c r="AZ22" s="39" t="s">
        <v>89</v>
      </c>
      <c r="BA22" s="28" t="s">
        <v>90</v>
      </c>
      <c r="BC22" s="37">
        <f>AW22+AX22</f>
        <v>0</v>
      </c>
      <c r="BD22" s="37">
        <f>H22/(100-BE22)*100</f>
        <v>0</v>
      </c>
      <c r="BE22" s="37">
        <v>0</v>
      </c>
      <c r="BF22" s="37">
        <f>M22</f>
        <v>0</v>
      </c>
      <c r="BH22" s="19">
        <f>G22*AO22</f>
        <v>0</v>
      </c>
      <c r="BI22" s="19">
        <f>G22*AP22</f>
        <v>0</v>
      </c>
      <c r="BJ22" s="19">
        <f>G22*H22</f>
        <v>0</v>
      </c>
      <c r="BK22" s="19" t="s">
        <v>95</v>
      </c>
      <c r="BL22" s="37" t="s">
        <v>27</v>
      </c>
    </row>
    <row r="23" spans="1:47" ht="12.75">
      <c r="A23" s="5"/>
      <c r="B23" s="13"/>
      <c r="C23" s="13" t="s">
        <v>29</v>
      </c>
      <c r="D23" s="131" t="s">
        <v>45</v>
      </c>
      <c r="E23" s="132"/>
      <c r="F23" s="16" t="s">
        <v>6</v>
      </c>
      <c r="G23" s="16" t="s">
        <v>6</v>
      </c>
      <c r="H23" s="16" t="s">
        <v>6</v>
      </c>
      <c r="I23" s="42">
        <f>SUM(I24:I24)</f>
        <v>0</v>
      </c>
      <c r="J23" s="42">
        <f>SUM(J24:J24)</f>
        <v>0</v>
      </c>
      <c r="K23" s="42">
        <f>SUM(K24:K24)</f>
        <v>0</v>
      </c>
      <c r="L23" s="28"/>
      <c r="M23" s="42">
        <f>SUM(M24:M24)</f>
        <v>0</v>
      </c>
      <c r="N23" s="33"/>
      <c r="O23" s="35"/>
      <c r="AI23" s="28"/>
      <c r="AS23" s="42">
        <f>SUM(AJ24:AJ24)</f>
        <v>0</v>
      </c>
      <c r="AT23" s="42">
        <f>SUM(AK24:AK24)</f>
        <v>0</v>
      </c>
      <c r="AU23" s="42">
        <f>SUM(AL24:AL24)</f>
        <v>0</v>
      </c>
    </row>
    <row r="24" spans="1:64" ht="12.75">
      <c r="A24" s="6" t="s">
        <v>14</v>
      </c>
      <c r="B24" s="14"/>
      <c r="C24" s="14" t="s">
        <v>30</v>
      </c>
      <c r="D24" s="133" t="s">
        <v>170</v>
      </c>
      <c r="E24" s="134"/>
      <c r="F24" s="14" t="s">
        <v>50</v>
      </c>
      <c r="G24" s="20">
        <v>201</v>
      </c>
      <c r="H24" s="20">
        <v>0</v>
      </c>
      <c r="I24" s="20">
        <f>G24*AO24</f>
        <v>0</v>
      </c>
      <c r="J24" s="20">
        <f>G24*AP24</f>
        <v>0</v>
      </c>
      <c r="K24" s="20">
        <f>G24*H24</f>
        <v>0</v>
      </c>
      <c r="L24" s="20">
        <v>0</v>
      </c>
      <c r="M24" s="20">
        <f>G24*L24</f>
        <v>0</v>
      </c>
      <c r="N24" s="34"/>
      <c r="O24" s="35"/>
      <c r="Z24" s="37">
        <f>IF(AQ24="5",BJ24,0)</f>
        <v>0</v>
      </c>
      <c r="AB24" s="37">
        <f>IF(AQ24="1",BH24,0)</f>
        <v>0</v>
      </c>
      <c r="AC24" s="37">
        <f>IF(AQ24="1",BI24,0)</f>
        <v>0</v>
      </c>
      <c r="AD24" s="37">
        <f>IF(AQ24="7",BH24,0)</f>
        <v>0</v>
      </c>
      <c r="AE24" s="37">
        <f>IF(AQ24="7",BI24,0)</f>
        <v>0</v>
      </c>
      <c r="AF24" s="37">
        <f>IF(AQ24="2",BH24,0)</f>
        <v>0</v>
      </c>
      <c r="AG24" s="37">
        <f>IF(AQ24="2",BI24,0)</f>
        <v>0</v>
      </c>
      <c r="AH24" s="37">
        <f>IF(AQ24="0",BJ24,0)</f>
        <v>0</v>
      </c>
      <c r="AI24" s="28"/>
      <c r="AJ24" s="19">
        <f>IF(AN24=0,K24,0)</f>
        <v>0</v>
      </c>
      <c r="AK24" s="19">
        <f>IF(AN24=15,K24,0)</f>
        <v>0</v>
      </c>
      <c r="AL24" s="19">
        <f>IF(AN24=21,K24,0)</f>
        <v>0</v>
      </c>
      <c r="AN24" s="37">
        <v>21</v>
      </c>
      <c r="AO24" s="37">
        <f>H24*0</f>
        <v>0</v>
      </c>
      <c r="AP24" s="37">
        <f>H24*(1-0)</f>
        <v>0</v>
      </c>
      <c r="AQ24" s="38" t="s">
        <v>11</v>
      </c>
      <c r="AV24" s="37">
        <f>AW24+AX24</f>
        <v>0</v>
      </c>
      <c r="AW24" s="37">
        <f>G24*AO24</f>
        <v>0</v>
      </c>
      <c r="AX24" s="37">
        <f>G24*AP24</f>
        <v>0</v>
      </c>
      <c r="AY24" s="39" t="s">
        <v>86</v>
      </c>
      <c r="AZ24" s="39" t="s">
        <v>89</v>
      </c>
      <c r="BA24" s="28" t="s">
        <v>90</v>
      </c>
      <c r="BC24" s="37">
        <f>AW24+AX24</f>
        <v>0</v>
      </c>
      <c r="BD24" s="37">
        <f>H24/(100-BE24)*100</f>
        <v>0</v>
      </c>
      <c r="BE24" s="37">
        <v>0</v>
      </c>
      <c r="BF24" s="37">
        <f>M24</f>
        <v>0</v>
      </c>
      <c r="BH24" s="19">
        <f>G24*AO24</f>
        <v>0</v>
      </c>
      <c r="BI24" s="19">
        <f>G24*AP24</f>
        <v>0</v>
      </c>
      <c r="BJ24" s="19">
        <f>G24*H24</f>
        <v>0</v>
      </c>
      <c r="BK24" s="19" t="s">
        <v>95</v>
      </c>
      <c r="BL24" s="37" t="s">
        <v>29</v>
      </c>
    </row>
    <row r="25" spans="1:14" ht="12.75">
      <c r="A25" s="7"/>
      <c r="B25" s="7"/>
      <c r="C25" s="7"/>
      <c r="D25" s="7"/>
      <c r="E25" s="7"/>
      <c r="F25" s="7"/>
      <c r="G25" s="7"/>
      <c r="H25" s="7"/>
      <c r="I25" s="135" t="s">
        <v>61</v>
      </c>
      <c r="J25" s="108"/>
      <c r="K25" s="43">
        <f>K12+K15+K19+K21+K23</f>
        <v>0</v>
      </c>
      <c r="L25" s="7"/>
      <c r="M25" s="7"/>
      <c r="N25" s="7"/>
    </row>
    <row r="26" ht="11.25" customHeight="1">
      <c r="A26" s="8" t="s">
        <v>15</v>
      </c>
    </row>
    <row r="27" spans="1:14" ht="12.75">
      <c r="A27" s="11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</row>
  </sheetData>
  <sheetProtection/>
  <mergeCells count="44">
    <mergeCell ref="A27:N27"/>
    <mergeCell ref="D20:E20"/>
    <mergeCell ref="D21:E21"/>
    <mergeCell ref="D22:E22"/>
    <mergeCell ref="D23:E23"/>
    <mergeCell ref="D24:E24"/>
    <mergeCell ref="I25:J25"/>
    <mergeCell ref="D14:E14"/>
    <mergeCell ref="D15:E15"/>
    <mergeCell ref="D16:E16"/>
    <mergeCell ref="D17:E17"/>
    <mergeCell ref="D18:E18"/>
    <mergeCell ref="D19:E19"/>
    <mergeCell ref="D10:E10"/>
    <mergeCell ref="I10:K10"/>
    <mergeCell ref="L10:M10"/>
    <mergeCell ref="D11:E11"/>
    <mergeCell ref="D12:E12"/>
    <mergeCell ref="D13:E13"/>
    <mergeCell ref="A8:C9"/>
    <mergeCell ref="D8:F9"/>
    <mergeCell ref="G8:H9"/>
    <mergeCell ref="I8:I9"/>
    <mergeCell ref="J8:J9"/>
    <mergeCell ref="K8:N9"/>
    <mergeCell ref="A6:C7"/>
    <mergeCell ref="D6:F7"/>
    <mergeCell ref="G6:H7"/>
    <mergeCell ref="I6:I7"/>
    <mergeCell ref="J6:J7"/>
    <mergeCell ref="K6:N7"/>
    <mergeCell ref="A4:C5"/>
    <mergeCell ref="D4:F5"/>
    <mergeCell ref="G4:H5"/>
    <mergeCell ref="I4:I5"/>
    <mergeCell ref="J4:J5"/>
    <mergeCell ref="K4:N5"/>
    <mergeCell ref="A1:N1"/>
    <mergeCell ref="A2:C3"/>
    <mergeCell ref="D2:F3"/>
    <mergeCell ref="G2:H3"/>
    <mergeCell ref="I2:I3"/>
    <mergeCell ref="J2:J3"/>
    <mergeCell ref="K2:N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2" width="7.140625" style="0" customWidth="1"/>
    <col min="3" max="3" width="57.140625" style="0" customWidth="1"/>
    <col min="4" max="4" width="22.140625" style="0" customWidth="1"/>
    <col min="5" max="5" width="21.00390625" style="0" customWidth="1"/>
    <col min="6" max="6" width="20.8515625" style="0" customWidth="1"/>
    <col min="7" max="7" width="37.140625" style="0" customWidth="1"/>
    <col min="8" max="9" width="0" style="0" hidden="1" customWidth="1"/>
  </cols>
  <sheetData>
    <row r="1" spans="1:7" ht="72.75" customHeight="1">
      <c r="A1" s="101" t="s">
        <v>97</v>
      </c>
      <c r="B1" s="102"/>
      <c r="C1" s="102"/>
      <c r="D1" s="102"/>
      <c r="E1" s="102"/>
      <c r="F1" s="102"/>
      <c r="G1" s="102"/>
    </row>
    <row r="2" spans="1:8" ht="12.75">
      <c r="A2" s="103" t="s">
        <v>1</v>
      </c>
      <c r="B2" s="104"/>
      <c r="C2" s="107" t="str">
        <f>'Stavební rozpočet'!D2</f>
        <v>Výměna obrusné vrstvy</v>
      </c>
      <c r="D2" s="110" t="s">
        <v>51</v>
      </c>
      <c r="E2" s="110" t="s">
        <v>6</v>
      </c>
      <c r="F2" s="111" t="s">
        <v>62</v>
      </c>
      <c r="G2" s="136" t="str">
        <f>'Stavební rozpočet'!K2</f>
        <v>TS Vsetín, p.o.</v>
      </c>
      <c r="H2" s="35"/>
    </row>
    <row r="3" spans="1:8" ht="12.75">
      <c r="A3" s="105"/>
      <c r="B3" s="106"/>
      <c r="C3" s="109"/>
      <c r="D3" s="106"/>
      <c r="E3" s="106"/>
      <c r="F3" s="106"/>
      <c r="G3" s="113"/>
      <c r="H3" s="35"/>
    </row>
    <row r="4" spans="1:8" ht="12.75">
      <c r="A4" s="114" t="s">
        <v>2</v>
      </c>
      <c r="B4" s="106"/>
      <c r="C4" s="115" t="str">
        <f>'Stavební rozpočet'!D4</f>
        <v>Komunikace - Krátká </v>
      </c>
      <c r="D4" s="116" t="s">
        <v>52</v>
      </c>
      <c r="E4" s="116" t="s">
        <v>58</v>
      </c>
      <c r="F4" s="115" t="s">
        <v>63</v>
      </c>
      <c r="G4" s="137" t="str">
        <f>'Stavební rozpočet'!K4</f>
        <v> </v>
      </c>
      <c r="H4" s="35"/>
    </row>
    <row r="5" spans="1:8" ht="12.75">
      <c r="A5" s="105"/>
      <c r="B5" s="106"/>
      <c r="C5" s="106"/>
      <c r="D5" s="106"/>
      <c r="E5" s="106"/>
      <c r="F5" s="106"/>
      <c r="G5" s="113"/>
      <c r="H5" s="35"/>
    </row>
    <row r="6" spans="1:8" ht="12.75">
      <c r="A6" s="114" t="s">
        <v>3</v>
      </c>
      <c r="B6" s="106"/>
      <c r="C6" s="115" t="str">
        <f>'Stavební rozpočet'!D6</f>
        <v>Vsetín u Pennymarketu</v>
      </c>
      <c r="D6" s="116" t="s">
        <v>53</v>
      </c>
      <c r="E6" s="116" t="s">
        <v>6</v>
      </c>
      <c r="F6" s="115" t="s">
        <v>64</v>
      </c>
      <c r="G6" s="137" t="str">
        <f>'Stavební rozpočet'!K6</f>
        <v>dle VŘ</v>
      </c>
      <c r="H6" s="35"/>
    </row>
    <row r="7" spans="1:8" ht="12.75">
      <c r="A7" s="105"/>
      <c r="B7" s="106"/>
      <c r="C7" s="106"/>
      <c r="D7" s="106"/>
      <c r="E7" s="106"/>
      <c r="F7" s="106"/>
      <c r="G7" s="113"/>
      <c r="H7" s="35"/>
    </row>
    <row r="8" spans="1:8" ht="12.75">
      <c r="A8" s="114" t="s">
        <v>65</v>
      </c>
      <c r="B8" s="106"/>
      <c r="C8" s="115" t="str">
        <f>'Stavební rozpočet'!K8</f>
        <v>Ing. Petr Ryza</v>
      </c>
      <c r="D8" s="116" t="s">
        <v>54</v>
      </c>
      <c r="E8" s="116" t="s">
        <v>58</v>
      </c>
      <c r="F8" s="116" t="s">
        <v>54</v>
      </c>
      <c r="G8" s="137" t="str">
        <f>'Stavební rozpočet'!I8</f>
        <v>11.07.2023</v>
      </c>
      <c r="H8" s="35"/>
    </row>
    <row r="9" spans="1:8" ht="12.75">
      <c r="A9" s="117"/>
      <c r="B9" s="118"/>
      <c r="C9" s="118"/>
      <c r="D9" s="118"/>
      <c r="E9" s="118"/>
      <c r="F9" s="118"/>
      <c r="G9" s="119"/>
      <c r="H9" s="35"/>
    </row>
    <row r="10" spans="1:8" ht="12.75">
      <c r="A10" s="44" t="s">
        <v>16</v>
      </c>
      <c r="B10" s="48" t="s">
        <v>17</v>
      </c>
      <c r="C10" s="51" t="s">
        <v>32</v>
      </c>
      <c r="D10" s="52" t="s">
        <v>98</v>
      </c>
      <c r="E10" s="52" t="s">
        <v>99</v>
      </c>
      <c r="F10" s="52" t="s">
        <v>100</v>
      </c>
      <c r="G10" s="53" t="s">
        <v>101</v>
      </c>
      <c r="H10" s="36"/>
    </row>
    <row r="11" spans="1:9" ht="12.75">
      <c r="A11" s="45"/>
      <c r="B11" s="49" t="s">
        <v>18</v>
      </c>
      <c r="C11" s="49" t="s">
        <v>34</v>
      </c>
      <c r="D11" s="55">
        <f>'Stavební rozpočet'!I12</f>
        <v>0</v>
      </c>
      <c r="E11" s="55">
        <f>'Stavební rozpočet'!J12</f>
        <v>0</v>
      </c>
      <c r="F11" s="55">
        <f>'Stavební rozpočet'!K12</f>
        <v>0</v>
      </c>
      <c r="G11" s="57">
        <f>'Stavební rozpočet'!M12</f>
        <v>201.025</v>
      </c>
      <c r="H11" s="54" t="s">
        <v>102</v>
      </c>
      <c r="I11" s="37">
        <f>IF(H11="F",0,F11)</f>
        <v>0</v>
      </c>
    </row>
    <row r="12" spans="1:9" ht="12.75">
      <c r="A12" s="46"/>
      <c r="B12" s="17" t="s">
        <v>21</v>
      </c>
      <c r="C12" s="17" t="s">
        <v>37</v>
      </c>
      <c r="D12" s="37">
        <f>'Stavební rozpočet'!I15</f>
        <v>0</v>
      </c>
      <c r="E12" s="37">
        <f>'Stavební rozpočet'!J15</f>
        <v>0</v>
      </c>
      <c r="F12" s="37">
        <f>'Stavební rozpočet'!K15</f>
        <v>0</v>
      </c>
      <c r="G12" s="58">
        <f>'Stavební rozpočet'!M15</f>
        <v>269.835775</v>
      </c>
      <c r="H12" s="54" t="s">
        <v>102</v>
      </c>
      <c r="I12" s="37">
        <f>IF(H12="F",0,F12)</f>
        <v>0</v>
      </c>
    </row>
    <row r="13" spans="1:9" ht="12.75">
      <c r="A13" s="46"/>
      <c r="B13" s="17" t="s">
        <v>25</v>
      </c>
      <c r="C13" s="17" t="s">
        <v>41</v>
      </c>
      <c r="D13" s="37">
        <f>'Stavební rozpočet'!I19</f>
        <v>0</v>
      </c>
      <c r="E13" s="37">
        <f>'Stavební rozpočet'!J19</f>
        <v>0</v>
      </c>
      <c r="F13" s="37">
        <f>'Stavební rozpočet'!K19</f>
        <v>0</v>
      </c>
      <c r="G13" s="58">
        <f>'Stavební rozpočet'!M19</f>
        <v>0.0135</v>
      </c>
      <c r="H13" s="54" t="s">
        <v>102</v>
      </c>
      <c r="I13" s="37">
        <f>IF(H13="F",0,F13)</f>
        <v>0</v>
      </c>
    </row>
    <row r="14" spans="1:9" ht="12.75">
      <c r="A14" s="46"/>
      <c r="B14" s="17" t="s">
        <v>27</v>
      </c>
      <c r="C14" s="17" t="s">
        <v>43</v>
      </c>
      <c r="D14" s="37">
        <f>'Stavební rozpočet'!I21</f>
        <v>0</v>
      </c>
      <c r="E14" s="37">
        <f>'Stavební rozpočet'!J21</f>
        <v>0</v>
      </c>
      <c r="F14" s="37">
        <f>'Stavební rozpočet'!K21</f>
        <v>0</v>
      </c>
      <c r="G14" s="58">
        <f>'Stavební rozpočet'!M21</f>
        <v>0</v>
      </c>
      <c r="H14" s="54" t="s">
        <v>102</v>
      </c>
      <c r="I14" s="37">
        <f>IF(H14="F",0,F14)</f>
        <v>0</v>
      </c>
    </row>
    <row r="15" spans="1:9" ht="12.75">
      <c r="A15" s="47"/>
      <c r="B15" s="50" t="s">
        <v>29</v>
      </c>
      <c r="C15" s="50" t="s">
        <v>45</v>
      </c>
      <c r="D15" s="56">
        <f>'Stavební rozpočet'!I23</f>
        <v>0</v>
      </c>
      <c r="E15" s="56">
        <f>'Stavební rozpočet'!J23</f>
        <v>0</v>
      </c>
      <c r="F15" s="56">
        <f>'Stavební rozpočet'!K23</f>
        <v>0</v>
      </c>
      <c r="G15" s="59">
        <f>'Stavební rozpočet'!M23</f>
        <v>0</v>
      </c>
      <c r="H15" s="54" t="s">
        <v>102</v>
      </c>
      <c r="I15" s="37">
        <f>IF(H15="F",0,F15)</f>
        <v>0</v>
      </c>
    </row>
    <row r="16" spans="1:7" ht="12.75">
      <c r="A16" s="7"/>
      <c r="B16" s="7"/>
      <c r="C16" s="7"/>
      <c r="D16" s="7"/>
      <c r="E16" s="24" t="s">
        <v>61</v>
      </c>
      <c r="F16" s="43">
        <f>SUM(I11:I15)</f>
        <v>0</v>
      </c>
      <c r="G16" s="7"/>
    </row>
  </sheetData>
  <sheetProtection/>
  <mergeCells count="25">
    <mergeCell ref="A8:B9"/>
    <mergeCell ref="C8:C9"/>
    <mergeCell ref="D8:D9"/>
    <mergeCell ref="E8:E9"/>
    <mergeCell ref="F8:F9"/>
    <mergeCell ref="G8:G9"/>
    <mergeCell ref="A6:B7"/>
    <mergeCell ref="C6:C7"/>
    <mergeCell ref="D6:D7"/>
    <mergeCell ref="E6:E7"/>
    <mergeCell ref="F6:F7"/>
    <mergeCell ref="G6:G7"/>
    <mergeCell ref="A4:B5"/>
    <mergeCell ref="C4:C5"/>
    <mergeCell ref="D4:D5"/>
    <mergeCell ref="E4:E5"/>
    <mergeCell ref="F4:F5"/>
    <mergeCell ref="G4:G5"/>
    <mergeCell ref="A1:G1"/>
    <mergeCell ref="A2:B3"/>
    <mergeCell ref="C2:C3"/>
    <mergeCell ref="D2:D3"/>
    <mergeCell ref="E2:E3"/>
    <mergeCell ref="F2:F3"/>
    <mergeCell ref="G2:G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H1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42.8515625" style="0" customWidth="1"/>
    <col min="5" max="5" width="14.28125" style="0" customWidth="1"/>
    <col min="6" max="6" width="24.140625" style="0" customWidth="1"/>
    <col min="7" max="7" width="15.7109375" style="0" customWidth="1"/>
    <col min="8" max="8" width="18.140625" style="0" customWidth="1"/>
  </cols>
  <sheetData>
    <row r="1" spans="1:8" ht="72.75" customHeight="1">
      <c r="A1" s="101" t="s">
        <v>103</v>
      </c>
      <c r="B1" s="102"/>
      <c r="C1" s="102"/>
      <c r="D1" s="102"/>
      <c r="E1" s="102"/>
      <c r="F1" s="102"/>
      <c r="G1" s="102"/>
      <c r="H1" s="102"/>
    </row>
    <row r="2" spans="1:9" ht="12.75">
      <c r="A2" s="103" t="s">
        <v>1</v>
      </c>
      <c r="B2" s="104"/>
      <c r="C2" s="107" t="str">
        <f>'Stavební rozpočet'!D2</f>
        <v>Výměna obrusné vrstvy</v>
      </c>
      <c r="D2" s="108"/>
      <c r="E2" s="111" t="s">
        <v>62</v>
      </c>
      <c r="F2" s="111" t="str">
        <f>'Stavební rozpočet'!K2</f>
        <v>TS Vsetín, p.o.</v>
      </c>
      <c r="G2" s="104"/>
      <c r="H2" s="112"/>
      <c r="I2" s="35"/>
    </row>
    <row r="3" spans="1:9" ht="12.75">
      <c r="A3" s="105"/>
      <c r="B3" s="106"/>
      <c r="C3" s="109"/>
      <c r="D3" s="109"/>
      <c r="E3" s="106"/>
      <c r="F3" s="106"/>
      <c r="G3" s="106"/>
      <c r="H3" s="113"/>
      <c r="I3" s="35"/>
    </row>
    <row r="4" spans="1:9" ht="12.75">
      <c r="A4" s="114" t="s">
        <v>2</v>
      </c>
      <c r="B4" s="106"/>
      <c r="C4" s="115" t="str">
        <f>'Stavební rozpočet'!D4</f>
        <v>Komunikace - Krátká </v>
      </c>
      <c r="D4" s="106"/>
      <c r="E4" s="115" t="s">
        <v>63</v>
      </c>
      <c r="F4" s="115" t="str">
        <f>'Stavební rozpočet'!K4</f>
        <v> </v>
      </c>
      <c r="G4" s="106"/>
      <c r="H4" s="113"/>
      <c r="I4" s="35"/>
    </row>
    <row r="5" spans="1:9" ht="12.75">
      <c r="A5" s="105"/>
      <c r="B5" s="106"/>
      <c r="C5" s="106"/>
      <c r="D5" s="106"/>
      <c r="E5" s="106"/>
      <c r="F5" s="106"/>
      <c r="G5" s="106"/>
      <c r="H5" s="113"/>
      <c r="I5" s="35"/>
    </row>
    <row r="6" spans="1:9" ht="12.75">
      <c r="A6" s="114" t="s">
        <v>3</v>
      </c>
      <c r="B6" s="106"/>
      <c r="C6" s="115" t="str">
        <f>'Stavební rozpočet'!D6</f>
        <v>Vsetín u Pennymarketu</v>
      </c>
      <c r="D6" s="106"/>
      <c r="E6" s="115" t="s">
        <v>64</v>
      </c>
      <c r="F6" s="115" t="str">
        <f>'Stavební rozpočet'!K6</f>
        <v>dle VŘ</v>
      </c>
      <c r="G6" s="106"/>
      <c r="H6" s="113"/>
      <c r="I6" s="35"/>
    </row>
    <row r="7" spans="1:9" ht="12.75">
      <c r="A7" s="105"/>
      <c r="B7" s="106"/>
      <c r="C7" s="106"/>
      <c r="D7" s="106"/>
      <c r="E7" s="106"/>
      <c r="F7" s="106"/>
      <c r="G7" s="106"/>
      <c r="H7" s="113"/>
      <c r="I7" s="35"/>
    </row>
    <row r="8" spans="1:9" ht="12.75">
      <c r="A8" s="114" t="s">
        <v>65</v>
      </c>
      <c r="B8" s="106"/>
      <c r="C8" s="115" t="str">
        <f>'Stavební rozpočet'!K8</f>
        <v>Ing. Petr Ryza</v>
      </c>
      <c r="D8" s="106"/>
      <c r="E8" s="115" t="s">
        <v>54</v>
      </c>
      <c r="F8" s="115" t="str">
        <f>'Stavební rozpočet'!I8</f>
        <v>11.07.2023</v>
      </c>
      <c r="G8" s="106"/>
      <c r="H8" s="113"/>
      <c r="I8" s="35"/>
    </row>
    <row r="9" spans="1:9" ht="12.75">
      <c r="A9" s="117"/>
      <c r="B9" s="118"/>
      <c r="C9" s="118"/>
      <c r="D9" s="118"/>
      <c r="E9" s="118"/>
      <c r="F9" s="118"/>
      <c r="G9" s="118"/>
      <c r="H9" s="119"/>
      <c r="I9" s="35"/>
    </row>
    <row r="10" spans="1:9" ht="12.75">
      <c r="A10" s="60" t="s">
        <v>5</v>
      </c>
      <c r="B10" s="61" t="s">
        <v>16</v>
      </c>
      <c r="C10" s="61" t="s">
        <v>17</v>
      </c>
      <c r="D10" s="138" t="s">
        <v>32</v>
      </c>
      <c r="E10" s="139"/>
      <c r="F10" s="61" t="s">
        <v>47</v>
      </c>
      <c r="G10" s="62" t="s">
        <v>55</v>
      </c>
      <c r="H10" s="63" t="s">
        <v>104</v>
      </c>
      <c r="I10" s="36"/>
    </row>
    <row r="11" spans="1:8" ht="12.75">
      <c r="A11" s="7"/>
      <c r="B11" s="7"/>
      <c r="C11" s="7"/>
      <c r="D11" s="7"/>
      <c r="E11" s="7"/>
      <c r="F11" s="7"/>
      <c r="G11" s="7"/>
      <c r="H11" s="7"/>
    </row>
    <row r="12" ht="11.25" customHeight="1">
      <c r="A12" s="8" t="s">
        <v>15</v>
      </c>
    </row>
    <row r="13" spans="1:7" ht="12.75">
      <c r="A13" s="115"/>
      <c r="B13" s="106"/>
      <c r="C13" s="106"/>
      <c r="D13" s="106"/>
      <c r="E13" s="106"/>
      <c r="F13" s="106"/>
      <c r="G13" s="106"/>
    </row>
  </sheetData>
  <sheetProtection/>
  <mergeCells count="19">
    <mergeCell ref="D10:E10"/>
    <mergeCell ref="A13:G13"/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H1"/>
    </sheetView>
  </sheetViews>
  <sheetFormatPr defaultColWidth="11.57421875" defaultRowHeight="12.75"/>
  <cols>
    <col min="1" max="1" width="16.421875" style="0" customWidth="1"/>
    <col min="2" max="2" width="48.7109375" style="0" customWidth="1"/>
    <col min="3" max="3" width="15.28125" style="0" customWidth="1"/>
    <col min="4" max="4" width="10.28125" style="0" customWidth="1"/>
    <col min="5" max="5" width="8.421875" style="0" customWidth="1"/>
    <col min="6" max="7" width="11.8515625" style="0" customWidth="1"/>
    <col min="8" max="8" width="19.8515625" style="0" customWidth="1"/>
  </cols>
  <sheetData>
    <row r="1" spans="1:8" ht="72.75" customHeight="1">
      <c r="A1" s="101" t="s">
        <v>105</v>
      </c>
      <c r="B1" s="102"/>
      <c r="C1" s="102"/>
      <c r="D1" s="102"/>
      <c r="E1" s="102"/>
      <c r="F1" s="102"/>
      <c r="G1" s="102"/>
      <c r="H1" s="102"/>
    </row>
    <row r="2" spans="1:9" ht="12.75">
      <c r="A2" s="103" t="s">
        <v>1</v>
      </c>
      <c r="B2" s="107" t="str">
        <f>'Stavební rozpočet'!D2</f>
        <v>Výměna obrusné vrstvy</v>
      </c>
      <c r="C2" s="110" t="s">
        <v>51</v>
      </c>
      <c r="D2" s="111" t="str">
        <f>'Stavební rozpočet'!I2</f>
        <v> </v>
      </c>
      <c r="E2" s="104"/>
      <c r="F2" s="111" t="s">
        <v>62</v>
      </c>
      <c r="G2" s="111" t="str">
        <f>'Stavební rozpočet'!K2</f>
        <v>TS Vsetín, p.o.</v>
      </c>
      <c r="H2" s="112"/>
      <c r="I2" s="35"/>
    </row>
    <row r="3" spans="1:9" ht="12.75">
      <c r="A3" s="105"/>
      <c r="B3" s="109"/>
      <c r="C3" s="106"/>
      <c r="D3" s="106"/>
      <c r="E3" s="106"/>
      <c r="F3" s="106"/>
      <c r="G3" s="106"/>
      <c r="H3" s="113"/>
      <c r="I3" s="35"/>
    </row>
    <row r="4" spans="1:9" ht="12.75">
      <c r="A4" s="114" t="s">
        <v>2</v>
      </c>
      <c r="B4" s="115" t="str">
        <f>'Stavební rozpočet'!D4</f>
        <v>Komunikace - Krátká </v>
      </c>
      <c r="C4" s="116" t="s">
        <v>52</v>
      </c>
      <c r="D4" s="115">
        <f>'Stavební rozpočet'!I4</f>
        <v>0</v>
      </c>
      <c r="E4" s="106"/>
      <c r="F4" s="115" t="s">
        <v>63</v>
      </c>
      <c r="G4" s="115" t="str">
        <f>'Stavební rozpočet'!K4</f>
        <v> </v>
      </c>
      <c r="H4" s="113"/>
      <c r="I4" s="35"/>
    </row>
    <row r="5" spans="1:9" ht="12.75">
      <c r="A5" s="105"/>
      <c r="B5" s="106"/>
      <c r="C5" s="106"/>
      <c r="D5" s="106"/>
      <c r="E5" s="106"/>
      <c r="F5" s="106"/>
      <c r="G5" s="106"/>
      <c r="H5" s="113"/>
      <c r="I5" s="35"/>
    </row>
    <row r="6" spans="1:9" ht="12.75">
      <c r="A6" s="114" t="s">
        <v>3</v>
      </c>
      <c r="B6" s="115" t="str">
        <f>'Stavební rozpočet'!D6</f>
        <v>Vsetín u Pennymarketu</v>
      </c>
      <c r="C6" s="116" t="s">
        <v>53</v>
      </c>
      <c r="D6" s="115" t="str">
        <f>'Stavební rozpočet'!I6</f>
        <v> </v>
      </c>
      <c r="E6" s="106"/>
      <c r="F6" s="115" t="s">
        <v>64</v>
      </c>
      <c r="G6" s="115" t="str">
        <f>'Stavební rozpočet'!K6</f>
        <v>dle VŘ</v>
      </c>
      <c r="H6" s="113"/>
      <c r="I6" s="35"/>
    </row>
    <row r="7" spans="1:9" ht="12.75">
      <c r="A7" s="105"/>
      <c r="B7" s="106"/>
      <c r="C7" s="106"/>
      <c r="D7" s="106"/>
      <c r="E7" s="106"/>
      <c r="F7" s="106"/>
      <c r="G7" s="106"/>
      <c r="H7" s="113"/>
      <c r="I7" s="35"/>
    </row>
    <row r="8" spans="1:9" ht="12.75">
      <c r="A8" s="114" t="s">
        <v>4</v>
      </c>
      <c r="B8" s="115" t="str">
        <f>'Stavební rozpočet'!D8</f>
        <v> </v>
      </c>
      <c r="C8" s="116" t="s">
        <v>54</v>
      </c>
      <c r="D8" s="115" t="str">
        <f>'Stavební rozpočet'!I8</f>
        <v>11.07.2023</v>
      </c>
      <c r="E8" s="106"/>
      <c r="F8" s="115" t="s">
        <v>65</v>
      </c>
      <c r="G8" s="115" t="str">
        <f>'Stavební rozpočet'!K8</f>
        <v>Ing. Petr Ryza</v>
      </c>
      <c r="H8" s="113"/>
      <c r="I8" s="35"/>
    </row>
    <row r="9" spans="1:9" ht="12.75">
      <c r="A9" s="143"/>
      <c r="B9" s="144"/>
      <c r="C9" s="144"/>
      <c r="D9" s="144"/>
      <c r="E9" s="144"/>
      <c r="F9" s="144"/>
      <c r="G9" s="144"/>
      <c r="H9" s="145"/>
      <c r="I9" s="35"/>
    </row>
    <row r="10" spans="1:9" ht="12.75">
      <c r="A10" s="64" t="s">
        <v>17</v>
      </c>
      <c r="B10" s="66" t="s">
        <v>32</v>
      </c>
      <c r="C10" s="68" t="s">
        <v>106</v>
      </c>
      <c r="D10" s="68" t="s">
        <v>107</v>
      </c>
      <c r="E10" s="68" t="s">
        <v>108</v>
      </c>
      <c r="F10" s="140" t="s">
        <v>109</v>
      </c>
      <c r="G10" s="141"/>
      <c r="H10" s="142"/>
      <c r="I10" s="36"/>
    </row>
    <row r="11" spans="1:8" ht="11.25" customHeight="1">
      <c r="A11" s="65" t="s">
        <v>15</v>
      </c>
      <c r="B11" s="67"/>
      <c r="C11" s="67"/>
      <c r="D11" s="67"/>
      <c r="E11" s="67"/>
      <c r="F11" s="67"/>
      <c r="G11" s="67"/>
      <c r="H11" s="67"/>
    </row>
    <row r="12" spans="1:8" ht="12.75">
      <c r="A12" s="115"/>
      <c r="B12" s="106"/>
      <c r="C12" s="106"/>
      <c r="D12" s="106"/>
      <c r="E12" s="106"/>
      <c r="F12" s="106"/>
      <c r="G12" s="106"/>
      <c r="H12" s="106"/>
    </row>
  </sheetData>
  <sheetProtection/>
  <mergeCells count="27">
    <mergeCell ref="F10:H10"/>
    <mergeCell ref="A12:H12"/>
    <mergeCell ref="A8:A9"/>
    <mergeCell ref="B8:B9"/>
    <mergeCell ref="C8:C9"/>
    <mergeCell ref="D8:E9"/>
    <mergeCell ref="F8:F9"/>
    <mergeCell ref="G8:H9"/>
    <mergeCell ref="A6:A7"/>
    <mergeCell ref="B6:B7"/>
    <mergeCell ref="C6:C7"/>
    <mergeCell ref="D6:E7"/>
    <mergeCell ref="F6:F7"/>
    <mergeCell ref="G6:H7"/>
    <mergeCell ref="A4:A5"/>
    <mergeCell ref="B4:B5"/>
    <mergeCell ref="C4:C5"/>
    <mergeCell ref="D4:E5"/>
    <mergeCell ref="F4:F5"/>
    <mergeCell ref="G4:H5"/>
    <mergeCell ref="A1:H1"/>
    <mergeCell ref="A2:A3"/>
    <mergeCell ref="B2:B3"/>
    <mergeCell ref="C2:C3"/>
    <mergeCell ref="D2:E3"/>
    <mergeCell ref="F2:F3"/>
    <mergeCell ref="G2:H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O1"/>
    </sheetView>
  </sheetViews>
  <sheetFormatPr defaultColWidth="11.57421875" defaultRowHeight="12.75"/>
  <cols>
    <col min="1" max="1" width="14.57421875" style="0" customWidth="1"/>
    <col min="2" max="2" width="10.421875" style="0" customWidth="1"/>
    <col min="3" max="3" width="14.57421875" style="0" customWidth="1"/>
    <col min="4" max="4" width="39.7109375" style="0" customWidth="1"/>
    <col min="5" max="5" width="16.140625" style="0" customWidth="1"/>
    <col min="6" max="6" width="23.28125" style="0" customWidth="1"/>
    <col min="7" max="7" width="21.28125" style="0" customWidth="1"/>
    <col min="8" max="8" width="19.57421875" style="0" customWidth="1"/>
    <col min="9" max="10" width="11.421875" style="0" customWidth="1"/>
    <col min="11" max="11" width="21.140625" style="0" customWidth="1"/>
    <col min="12" max="12" width="11.421875" style="0" customWidth="1"/>
    <col min="13" max="15" width="20.00390625" style="0" customWidth="1"/>
    <col min="16" max="30" width="11.57421875" style="0" customWidth="1"/>
    <col min="31" max="31" width="12.140625" style="0" hidden="1" customWidth="1"/>
  </cols>
  <sheetData>
    <row r="1" spans="1:15" ht="72.75" customHeight="1">
      <c r="A1" s="101" t="s">
        <v>110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6" ht="12.75">
      <c r="A2" s="103" t="s">
        <v>1</v>
      </c>
      <c r="B2" s="107" t="str">
        <f>'Stavební rozpočet'!D2</f>
        <v>Výměna obrusné vrstvy</v>
      </c>
      <c r="C2" s="108"/>
      <c r="D2" s="108"/>
      <c r="E2" s="110" t="s">
        <v>51</v>
      </c>
      <c r="F2" s="111" t="str">
        <f>'Stavební rozpočet'!I2</f>
        <v> </v>
      </c>
      <c r="G2" s="111" t="s">
        <v>62</v>
      </c>
      <c r="H2" s="111" t="str">
        <f>'Stavební rozpočet'!K2</f>
        <v>TS Vsetín, p.o.</v>
      </c>
      <c r="I2" s="104"/>
      <c r="J2" s="104"/>
      <c r="K2" s="104"/>
      <c r="L2" s="104"/>
      <c r="M2" s="104"/>
      <c r="N2" s="104"/>
      <c r="O2" s="112"/>
      <c r="P2" s="35"/>
    </row>
    <row r="3" spans="1:16" ht="12.75">
      <c r="A3" s="105"/>
      <c r="B3" s="109"/>
      <c r="C3" s="109"/>
      <c r="D3" s="109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13"/>
      <c r="P3" s="35"/>
    </row>
    <row r="4" spans="1:16" ht="12.75">
      <c r="A4" s="114" t="s">
        <v>2</v>
      </c>
      <c r="B4" s="115" t="str">
        <f>'Stavební rozpočet'!D4</f>
        <v>Komunikace - Krátká </v>
      </c>
      <c r="C4" s="106"/>
      <c r="D4" s="106"/>
      <c r="E4" s="116" t="s">
        <v>52</v>
      </c>
      <c r="F4" s="115">
        <f>'Stavební rozpočet'!I4</f>
        <v>0</v>
      </c>
      <c r="G4" s="115" t="s">
        <v>63</v>
      </c>
      <c r="H4" s="115" t="str">
        <f>'Stavební rozpočet'!K4</f>
        <v> </v>
      </c>
      <c r="I4" s="106"/>
      <c r="J4" s="106"/>
      <c r="K4" s="106"/>
      <c r="L4" s="106"/>
      <c r="M4" s="106"/>
      <c r="N4" s="106"/>
      <c r="O4" s="113"/>
      <c r="P4" s="35"/>
    </row>
    <row r="5" spans="1:16" ht="12.75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13"/>
      <c r="P5" s="35"/>
    </row>
    <row r="6" spans="1:16" ht="12.75">
      <c r="A6" s="114" t="s">
        <v>3</v>
      </c>
      <c r="B6" s="115" t="str">
        <f>'Stavební rozpočet'!D6</f>
        <v>Vsetín u Pennymarketu</v>
      </c>
      <c r="C6" s="106"/>
      <c r="D6" s="106"/>
      <c r="E6" s="116" t="s">
        <v>53</v>
      </c>
      <c r="F6" s="115" t="str">
        <f>'Stavební rozpočet'!I6</f>
        <v> </v>
      </c>
      <c r="G6" s="115" t="s">
        <v>64</v>
      </c>
      <c r="H6" s="115" t="str">
        <f>'Stavební rozpočet'!K6</f>
        <v>dle VŘ</v>
      </c>
      <c r="I6" s="106"/>
      <c r="J6" s="106"/>
      <c r="K6" s="106"/>
      <c r="L6" s="106"/>
      <c r="M6" s="106"/>
      <c r="N6" s="106"/>
      <c r="O6" s="113"/>
      <c r="P6" s="35"/>
    </row>
    <row r="7" spans="1:16" ht="12.75">
      <c r="A7" s="105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13"/>
      <c r="P7" s="35"/>
    </row>
    <row r="8" spans="1:16" ht="12.75">
      <c r="A8" s="114" t="s">
        <v>4</v>
      </c>
      <c r="B8" s="115" t="str">
        <f>'Stavební rozpočet'!D8</f>
        <v> </v>
      </c>
      <c r="C8" s="106"/>
      <c r="D8" s="106"/>
      <c r="E8" s="116" t="s">
        <v>54</v>
      </c>
      <c r="F8" s="115" t="str">
        <f>'Stavební rozpočet'!I8</f>
        <v>11.07.2023</v>
      </c>
      <c r="G8" s="115" t="s">
        <v>65</v>
      </c>
      <c r="H8" s="115" t="str">
        <f>'Stavební rozpočet'!K8</f>
        <v>Ing. Petr Ryza</v>
      </c>
      <c r="I8" s="106"/>
      <c r="J8" s="106"/>
      <c r="K8" s="106"/>
      <c r="L8" s="106"/>
      <c r="M8" s="106"/>
      <c r="N8" s="106"/>
      <c r="O8" s="113"/>
      <c r="P8" s="35"/>
    </row>
    <row r="9" spans="1:16" ht="12.75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9"/>
      <c r="P9" s="35"/>
    </row>
    <row r="10" spans="1:16" ht="12.75">
      <c r="A10" s="44" t="s">
        <v>5</v>
      </c>
      <c r="B10" s="44" t="s">
        <v>16</v>
      </c>
      <c r="C10" s="48" t="s">
        <v>17</v>
      </c>
      <c r="D10" s="146" t="s">
        <v>32</v>
      </c>
      <c r="E10" s="147"/>
      <c r="F10" s="71" t="s">
        <v>111</v>
      </c>
      <c r="G10" s="71" t="s">
        <v>112</v>
      </c>
      <c r="H10" s="71" t="s">
        <v>113</v>
      </c>
      <c r="I10" s="71" t="s">
        <v>114</v>
      </c>
      <c r="J10" s="71" t="s">
        <v>55</v>
      </c>
      <c r="K10" s="71" t="s">
        <v>115</v>
      </c>
      <c r="L10" s="72" t="s">
        <v>116</v>
      </c>
      <c r="M10" s="75" t="s">
        <v>117</v>
      </c>
      <c r="N10" s="71" t="s">
        <v>118</v>
      </c>
      <c r="O10" s="72" t="s">
        <v>119</v>
      </c>
      <c r="P10" s="36"/>
    </row>
    <row r="11" spans="1:31" ht="12.75">
      <c r="A11" s="69"/>
      <c r="B11" s="11"/>
      <c r="C11" s="11" t="s">
        <v>18</v>
      </c>
      <c r="D11" s="127" t="s">
        <v>34</v>
      </c>
      <c r="E11" s="128"/>
      <c r="F11" s="41">
        <f>SUM(F12:F13)</f>
        <v>0</v>
      </c>
      <c r="G11" s="41">
        <f>SUM(G12:G13)</f>
        <v>0</v>
      </c>
      <c r="H11" s="41">
        <f aca="true" t="shared" si="0" ref="H11:H23">G11-F11</f>
        <v>0</v>
      </c>
      <c r="I11" s="41">
        <f aca="true" t="shared" si="1" ref="I11:I23">IF(F11=0,0,H11/F11*100)</f>
        <v>0</v>
      </c>
      <c r="J11" s="41">
        <f>SUM(J12:J13)</f>
        <v>1587.5</v>
      </c>
      <c r="K11" s="41">
        <f>SUM(K12:K13)</f>
        <v>0</v>
      </c>
      <c r="L11" s="76">
        <f>J11-K11</f>
        <v>1587.5</v>
      </c>
      <c r="M11" s="78" t="str">
        <f aca="true" t="shared" si="2" ref="M11:M23">IF(G11=0,"Nefakturováno",AE11)</f>
        <v>Nefakturováno</v>
      </c>
      <c r="N11" s="41">
        <f aca="true" t="shared" si="3" ref="N11:N23">AE11-G11</f>
        <v>0</v>
      </c>
      <c r="O11" s="82">
        <f aca="true" t="shared" si="4" ref="O11:O23">IF(G11&lt;&gt;0,N11/G11*100,-100)</f>
        <v>-100</v>
      </c>
      <c r="P11" s="35"/>
      <c r="AE11" s="37">
        <v>0</v>
      </c>
    </row>
    <row r="12" spans="1:31" ht="12.75">
      <c r="A12" s="4" t="s">
        <v>7</v>
      </c>
      <c r="B12" s="12"/>
      <c r="C12" s="12" t="s">
        <v>19</v>
      </c>
      <c r="D12" s="129" t="s">
        <v>35</v>
      </c>
      <c r="E12" s="130"/>
      <c r="F12" s="19">
        <f>'Stavební rozpočet'!K13</f>
        <v>0</v>
      </c>
      <c r="G12" s="19">
        <v>0</v>
      </c>
      <c r="H12" s="19">
        <f t="shared" si="0"/>
        <v>0</v>
      </c>
      <c r="I12" s="19">
        <f t="shared" si="1"/>
        <v>0</v>
      </c>
      <c r="J12" s="19">
        <f>'Stavební rozpočet'!G13</f>
        <v>600</v>
      </c>
      <c r="K12" s="19">
        <v>0</v>
      </c>
      <c r="L12" s="73">
        <v>600</v>
      </c>
      <c r="M12" s="79" t="str">
        <f t="shared" si="2"/>
        <v>Nefakturováno</v>
      </c>
      <c r="N12" s="19">
        <f t="shared" si="3"/>
        <v>0</v>
      </c>
      <c r="O12" s="83">
        <f t="shared" si="4"/>
        <v>-100</v>
      </c>
      <c r="P12" s="35"/>
      <c r="AE12" s="19">
        <v>0</v>
      </c>
    </row>
    <row r="13" spans="1:31" ht="12.75">
      <c r="A13" s="4" t="s">
        <v>8</v>
      </c>
      <c r="B13" s="12"/>
      <c r="C13" s="12" t="s">
        <v>20</v>
      </c>
      <c r="D13" s="129" t="s">
        <v>36</v>
      </c>
      <c r="E13" s="130"/>
      <c r="F13" s="19">
        <f>'Stavební rozpočet'!K14</f>
        <v>0</v>
      </c>
      <c r="G13" s="19">
        <v>0</v>
      </c>
      <c r="H13" s="19">
        <f t="shared" si="0"/>
        <v>0</v>
      </c>
      <c r="I13" s="19">
        <f t="shared" si="1"/>
        <v>0</v>
      </c>
      <c r="J13" s="19">
        <f>'Stavební rozpočet'!G14</f>
        <v>987.5</v>
      </c>
      <c r="K13" s="19">
        <v>0</v>
      </c>
      <c r="L13" s="73">
        <v>987.5</v>
      </c>
      <c r="M13" s="79" t="str">
        <f t="shared" si="2"/>
        <v>Nefakturováno</v>
      </c>
      <c r="N13" s="19">
        <f t="shared" si="3"/>
        <v>0</v>
      </c>
      <c r="O13" s="83">
        <f t="shared" si="4"/>
        <v>-100</v>
      </c>
      <c r="P13" s="35"/>
      <c r="AE13" s="19">
        <v>0</v>
      </c>
    </row>
    <row r="14" spans="1:31" ht="12.75">
      <c r="A14" s="70"/>
      <c r="B14" s="13"/>
      <c r="C14" s="13" t="s">
        <v>21</v>
      </c>
      <c r="D14" s="131" t="s">
        <v>37</v>
      </c>
      <c r="E14" s="132"/>
      <c r="F14" s="42">
        <f>SUM(F15:F17)</f>
        <v>0</v>
      </c>
      <c r="G14" s="42">
        <f>SUM(G15:G17)</f>
        <v>0</v>
      </c>
      <c r="H14" s="42">
        <f t="shared" si="0"/>
        <v>0</v>
      </c>
      <c r="I14" s="42">
        <f t="shared" si="1"/>
        <v>0</v>
      </c>
      <c r="J14" s="42">
        <f>SUM(J15:J17)</f>
        <v>3665</v>
      </c>
      <c r="K14" s="42">
        <f>SUM(K15:K17)</f>
        <v>0</v>
      </c>
      <c r="L14" s="77">
        <f>J14-K14</f>
        <v>3665</v>
      </c>
      <c r="M14" s="80" t="str">
        <f t="shared" si="2"/>
        <v>Nefakturováno</v>
      </c>
      <c r="N14" s="42">
        <f t="shared" si="3"/>
        <v>0</v>
      </c>
      <c r="O14" s="84">
        <f t="shared" si="4"/>
        <v>-100</v>
      </c>
      <c r="P14" s="35"/>
      <c r="AE14" s="19">
        <v>0</v>
      </c>
    </row>
    <row r="15" spans="1:31" ht="12.75">
      <c r="A15" s="4" t="s">
        <v>9</v>
      </c>
      <c r="B15" s="12"/>
      <c r="C15" s="12" t="s">
        <v>22</v>
      </c>
      <c r="D15" s="129" t="s">
        <v>38</v>
      </c>
      <c r="E15" s="130"/>
      <c r="F15" s="19">
        <f>'Stavební rozpočet'!K16</f>
        <v>0</v>
      </c>
      <c r="G15" s="19">
        <v>0</v>
      </c>
      <c r="H15" s="19">
        <f t="shared" si="0"/>
        <v>0</v>
      </c>
      <c r="I15" s="19">
        <f t="shared" si="1"/>
        <v>0</v>
      </c>
      <c r="J15" s="19">
        <f>'Stavební rozpočet'!G16</f>
        <v>600</v>
      </c>
      <c r="K15" s="19">
        <v>0</v>
      </c>
      <c r="L15" s="73">
        <v>600</v>
      </c>
      <c r="M15" s="79" t="str">
        <f t="shared" si="2"/>
        <v>Nefakturováno</v>
      </c>
      <c r="N15" s="19">
        <f t="shared" si="3"/>
        <v>0</v>
      </c>
      <c r="O15" s="83">
        <f t="shared" si="4"/>
        <v>-100</v>
      </c>
      <c r="P15" s="35"/>
      <c r="AE15" s="19">
        <v>0</v>
      </c>
    </row>
    <row r="16" spans="1:31" ht="12.75">
      <c r="A16" s="4" t="s">
        <v>10</v>
      </c>
      <c r="B16" s="12"/>
      <c r="C16" s="12" t="s">
        <v>23</v>
      </c>
      <c r="D16" s="129" t="s">
        <v>39</v>
      </c>
      <c r="E16" s="130"/>
      <c r="F16" s="19">
        <f>'Stavební rozpočet'!K17</f>
        <v>0</v>
      </c>
      <c r="G16" s="19">
        <v>0</v>
      </c>
      <c r="H16" s="19">
        <f t="shared" si="0"/>
        <v>0</v>
      </c>
      <c r="I16" s="19">
        <f t="shared" si="1"/>
        <v>0</v>
      </c>
      <c r="J16" s="19">
        <f>'Stavební rozpočet'!G17</f>
        <v>1832.5</v>
      </c>
      <c r="K16" s="19">
        <v>0</v>
      </c>
      <c r="L16" s="73">
        <v>1832.5</v>
      </c>
      <c r="M16" s="79" t="str">
        <f t="shared" si="2"/>
        <v>Nefakturováno</v>
      </c>
      <c r="N16" s="19">
        <f t="shared" si="3"/>
        <v>0</v>
      </c>
      <c r="O16" s="83">
        <f t="shared" si="4"/>
        <v>-100</v>
      </c>
      <c r="P16" s="35"/>
      <c r="AE16" s="19">
        <v>0</v>
      </c>
    </row>
    <row r="17" spans="1:31" ht="12.75">
      <c r="A17" s="4" t="s">
        <v>11</v>
      </c>
      <c r="B17" s="12"/>
      <c r="C17" s="12" t="s">
        <v>24</v>
      </c>
      <c r="D17" s="129" t="s">
        <v>40</v>
      </c>
      <c r="E17" s="130"/>
      <c r="F17" s="19">
        <f>'Stavební rozpočet'!K18</f>
        <v>0</v>
      </c>
      <c r="G17" s="19">
        <v>0</v>
      </c>
      <c r="H17" s="19">
        <f t="shared" si="0"/>
        <v>0</v>
      </c>
      <c r="I17" s="19">
        <f t="shared" si="1"/>
        <v>0</v>
      </c>
      <c r="J17" s="19">
        <f>'Stavební rozpočet'!G18</f>
        <v>1232.5</v>
      </c>
      <c r="K17" s="19">
        <v>0</v>
      </c>
      <c r="L17" s="73">
        <v>1232.5</v>
      </c>
      <c r="M17" s="79" t="str">
        <f t="shared" si="2"/>
        <v>Nefakturováno</v>
      </c>
      <c r="N17" s="19">
        <f t="shared" si="3"/>
        <v>0</v>
      </c>
      <c r="O17" s="83">
        <f t="shared" si="4"/>
        <v>-100</v>
      </c>
      <c r="P17" s="35"/>
      <c r="AE17" s="19">
        <v>0</v>
      </c>
    </row>
    <row r="18" spans="1:31" ht="12.75">
      <c r="A18" s="70"/>
      <c r="B18" s="13"/>
      <c r="C18" s="13" t="s">
        <v>25</v>
      </c>
      <c r="D18" s="131" t="s">
        <v>41</v>
      </c>
      <c r="E18" s="132"/>
      <c r="F18" s="42">
        <f>SUM(F19:F19)</f>
        <v>0</v>
      </c>
      <c r="G18" s="42">
        <f>SUM(G19:G19)</f>
        <v>0</v>
      </c>
      <c r="H18" s="42">
        <f t="shared" si="0"/>
        <v>0</v>
      </c>
      <c r="I18" s="42">
        <f t="shared" si="1"/>
        <v>0</v>
      </c>
      <c r="J18" s="42">
        <f>SUM(J19:J19)</f>
        <v>135</v>
      </c>
      <c r="K18" s="42">
        <f>SUM(K19:K19)</f>
        <v>0</v>
      </c>
      <c r="L18" s="77">
        <f>J18-K18</f>
        <v>135</v>
      </c>
      <c r="M18" s="80" t="str">
        <f t="shared" si="2"/>
        <v>Nefakturováno</v>
      </c>
      <c r="N18" s="42">
        <f t="shared" si="3"/>
        <v>0</v>
      </c>
      <c r="O18" s="84">
        <f t="shared" si="4"/>
        <v>-100</v>
      </c>
      <c r="P18" s="35"/>
      <c r="AE18" s="19">
        <v>0</v>
      </c>
    </row>
    <row r="19" spans="1:31" ht="12.75">
      <c r="A19" s="4" t="s">
        <v>12</v>
      </c>
      <c r="B19" s="12"/>
      <c r="C19" s="12" t="s">
        <v>26</v>
      </c>
      <c r="D19" s="129" t="s">
        <v>42</v>
      </c>
      <c r="E19" s="130"/>
      <c r="F19" s="19">
        <f>'Stavební rozpočet'!K20</f>
        <v>0</v>
      </c>
      <c r="G19" s="19">
        <v>0</v>
      </c>
      <c r="H19" s="19">
        <f t="shared" si="0"/>
        <v>0</v>
      </c>
      <c r="I19" s="19">
        <f t="shared" si="1"/>
        <v>0</v>
      </c>
      <c r="J19" s="19">
        <f>'Stavební rozpočet'!G20</f>
        <v>135</v>
      </c>
      <c r="K19" s="19">
        <v>0</v>
      </c>
      <c r="L19" s="73">
        <v>135</v>
      </c>
      <c r="M19" s="79" t="str">
        <f t="shared" si="2"/>
        <v>Nefakturováno</v>
      </c>
      <c r="N19" s="19">
        <f t="shared" si="3"/>
        <v>0</v>
      </c>
      <c r="O19" s="83">
        <f t="shared" si="4"/>
        <v>-100</v>
      </c>
      <c r="P19" s="35"/>
      <c r="AE19" s="19">
        <v>0</v>
      </c>
    </row>
    <row r="20" spans="1:31" ht="12.75">
      <c r="A20" s="70"/>
      <c r="B20" s="13"/>
      <c r="C20" s="13" t="s">
        <v>27</v>
      </c>
      <c r="D20" s="131" t="s">
        <v>43</v>
      </c>
      <c r="E20" s="132"/>
      <c r="F20" s="42">
        <f>SUM(F21:F21)</f>
        <v>0</v>
      </c>
      <c r="G20" s="42">
        <f>SUM(G21:G21)</f>
        <v>0</v>
      </c>
      <c r="H20" s="42">
        <f t="shared" si="0"/>
        <v>0</v>
      </c>
      <c r="I20" s="42">
        <f t="shared" si="1"/>
        <v>0</v>
      </c>
      <c r="J20" s="42">
        <f>SUM(J21:J21)</f>
        <v>270</v>
      </c>
      <c r="K20" s="42">
        <f>SUM(K21:K21)</f>
        <v>0</v>
      </c>
      <c r="L20" s="77">
        <f>J20-K20</f>
        <v>270</v>
      </c>
      <c r="M20" s="80" t="str">
        <f t="shared" si="2"/>
        <v>Nefakturováno</v>
      </c>
      <c r="N20" s="42">
        <f t="shared" si="3"/>
        <v>0</v>
      </c>
      <c r="O20" s="84">
        <f t="shared" si="4"/>
        <v>-100</v>
      </c>
      <c r="P20" s="35"/>
      <c r="AE20" s="19">
        <v>0</v>
      </c>
    </row>
    <row r="21" spans="1:31" ht="12.75">
      <c r="A21" s="4" t="s">
        <v>13</v>
      </c>
      <c r="B21" s="12"/>
      <c r="C21" s="12" t="s">
        <v>28</v>
      </c>
      <c r="D21" s="129" t="s">
        <v>44</v>
      </c>
      <c r="E21" s="130"/>
      <c r="F21" s="19">
        <f>'Stavební rozpočet'!K22</f>
        <v>0</v>
      </c>
      <c r="G21" s="19">
        <v>0</v>
      </c>
      <c r="H21" s="19">
        <f t="shared" si="0"/>
        <v>0</v>
      </c>
      <c r="I21" s="19">
        <f t="shared" si="1"/>
        <v>0</v>
      </c>
      <c r="J21" s="19">
        <f>'Stavební rozpočet'!G22</f>
        <v>270</v>
      </c>
      <c r="K21" s="19">
        <v>0</v>
      </c>
      <c r="L21" s="73">
        <v>270</v>
      </c>
      <c r="M21" s="79" t="str">
        <f t="shared" si="2"/>
        <v>Nefakturováno</v>
      </c>
      <c r="N21" s="19">
        <f t="shared" si="3"/>
        <v>0</v>
      </c>
      <c r="O21" s="83">
        <f t="shared" si="4"/>
        <v>-100</v>
      </c>
      <c r="P21" s="35"/>
      <c r="AE21" s="19">
        <v>0</v>
      </c>
    </row>
    <row r="22" spans="1:31" ht="12.75">
      <c r="A22" s="70"/>
      <c r="B22" s="13"/>
      <c r="C22" s="13" t="s">
        <v>29</v>
      </c>
      <c r="D22" s="131" t="s">
        <v>45</v>
      </c>
      <c r="E22" s="132"/>
      <c r="F22" s="42">
        <f>SUM(F23:F23)</f>
        <v>0</v>
      </c>
      <c r="G22" s="42">
        <f>SUM(G23:G23)</f>
        <v>0</v>
      </c>
      <c r="H22" s="42">
        <f t="shared" si="0"/>
        <v>0</v>
      </c>
      <c r="I22" s="42">
        <f t="shared" si="1"/>
        <v>0</v>
      </c>
      <c r="J22" s="42">
        <f>SUM(J23:J23)</f>
        <v>201</v>
      </c>
      <c r="K22" s="42">
        <f>SUM(K23:K23)</f>
        <v>0</v>
      </c>
      <c r="L22" s="77">
        <f>J22-K22</f>
        <v>201</v>
      </c>
      <c r="M22" s="80" t="str">
        <f t="shared" si="2"/>
        <v>Nefakturováno</v>
      </c>
      <c r="N22" s="42">
        <f t="shared" si="3"/>
        <v>0</v>
      </c>
      <c r="O22" s="84">
        <f t="shared" si="4"/>
        <v>-100</v>
      </c>
      <c r="P22" s="35"/>
      <c r="AE22" s="19">
        <v>0</v>
      </c>
    </row>
    <row r="23" spans="1:31" ht="12.75">
      <c r="A23" s="6" t="s">
        <v>14</v>
      </c>
      <c r="B23" s="14"/>
      <c r="C23" s="14" t="s">
        <v>30</v>
      </c>
      <c r="D23" s="133" t="s">
        <v>46</v>
      </c>
      <c r="E23" s="134"/>
      <c r="F23" s="20">
        <f>'Stavební rozpočet'!K24</f>
        <v>0</v>
      </c>
      <c r="G23" s="20">
        <v>0</v>
      </c>
      <c r="H23" s="20">
        <f t="shared" si="0"/>
        <v>0</v>
      </c>
      <c r="I23" s="20">
        <f t="shared" si="1"/>
        <v>0</v>
      </c>
      <c r="J23" s="20">
        <f>'Stavební rozpočet'!G24</f>
        <v>201</v>
      </c>
      <c r="K23" s="20">
        <v>0</v>
      </c>
      <c r="L23" s="74">
        <v>201</v>
      </c>
      <c r="M23" s="81" t="str">
        <f t="shared" si="2"/>
        <v>Nefakturováno</v>
      </c>
      <c r="N23" s="20">
        <f t="shared" si="3"/>
        <v>0</v>
      </c>
      <c r="O23" s="85">
        <f t="shared" si="4"/>
        <v>-100</v>
      </c>
      <c r="P23" s="35"/>
      <c r="AE23" s="19">
        <v>0</v>
      </c>
    </row>
    <row r="24" spans="1:15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ht="11.25" customHeight="1">
      <c r="A25" s="8" t="s">
        <v>15</v>
      </c>
    </row>
    <row r="26" spans="1:10" ht="12.75">
      <c r="A26" s="115"/>
      <c r="B26" s="106"/>
      <c r="C26" s="106"/>
      <c r="D26" s="106"/>
      <c r="E26" s="106"/>
      <c r="F26" s="106"/>
      <c r="G26" s="106"/>
      <c r="H26" s="106"/>
      <c r="I26" s="106"/>
      <c r="J26" s="106"/>
    </row>
  </sheetData>
  <sheetProtection/>
  <mergeCells count="40">
    <mergeCell ref="D22:E22"/>
    <mergeCell ref="D23:E23"/>
    <mergeCell ref="A26:J26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A8:A9"/>
    <mergeCell ref="B8:D9"/>
    <mergeCell ref="E8:E9"/>
    <mergeCell ref="F8:F9"/>
    <mergeCell ref="G8:G9"/>
    <mergeCell ref="H8:O9"/>
    <mergeCell ref="A6:A7"/>
    <mergeCell ref="B6:D7"/>
    <mergeCell ref="E6:E7"/>
    <mergeCell ref="F6:F7"/>
    <mergeCell ref="G6:G7"/>
    <mergeCell ref="H6:O7"/>
    <mergeCell ref="A4:A5"/>
    <mergeCell ref="B4:D5"/>
    <mergeCell ref="E4:E5"/>
    <mergeCell ref="F4:F5"/>
    <mergeCell ref="G4:G5"/>
    <mergeCell ref="H4:O5"/>
    <mergeCell ref="A1:O1"/>
    <mergeCell ref="A2:A3"/>
    <mergeCell ref="B2:D3"/>
    <mergeCell ref="E2:E3"/>
    <mergeCell ref="F2:F3"/>
    <mergeCell ref="G2:G3"/>
    <mergeCell ref="H2:O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100"/>
      <c r="B1" s="86"/>
      <c r="C1" s="148" t="s">
        <v>135</v>
      </c>
      <c r="D1" s="102"/>
      <c r="E1" s="102"/>
      <c r="F1" s="102"/>
      <c r="G1" s="102"/>
      <c r="H1" s="102"/>
      <c r="I1" s="102"/>
    </row>
    <row r="2" spans="1:10" ht="12.75">
      <c r="A2" s="103" t="s">
        <v>1</v>
      </c>
      <c r="B2" s="104"/>
      <c r="C2" s="107" t="str">
        <f>'Stavební rozpočet'!D2</f>
        <v>Výměna obrusné vrstvy</v>
      </c>
      <c r="D2" s="108"/>
      <c r="E2" s="111" t="s">
        <v>62</v>
      </c>
      <c r="F2" s="111" t="str">
        <f>'Stavební rozpočet'!K2</f>
        <v>TS Vsetín, p.o.</v>
      </c>
      <c r="G2" s="104"/>
      <c r="H2" s="111" t="s">
        <v>160</v>
      </c>
      <c r="I2" s="149"/>
      <c r="J2" s="35"/>
    </row>
    <row r="3" spans="1:10" ht="12.75">
      <c r="A3" s="105"/>
      <c r="B3" s="106"/>
      <c r="C3" s="109"/>
      <c r="D3" s="109"/>
      <c r="E3" s="106"/>
      <c r="F3" s="106"/>
      <c r="G3" s="106"/>
      <c r="H3" s="106"/>
      <c r="I3" s="113"/>
      <c r="J3" s="35"/>
    </row>
    <row r="4" spans="1:10" ht="12.75">
      <c r="A4" s="114" t="s">
        <v>2</v>
      </c>
      <c r="B4" s="106"/>
      <c r="C4" s="115" t="str">
        <f>'Stavební rozpočet'!D4</f>
        <v>Komunikace - Krátká </v>
      </c>
      <c r="D4" s="106"/>
      <c r="E4" s="115" t="s">
        <v>63</v>
      </c>
      <c r="F4" s="115" t="str">
        <f>'Stavební rozpočet'!K4</f>
        <v> </v>
      </c>
      <c r="G4" s="106"/>
      <c r="H4" s="115" t="s">
        <v>160</v>
      </c>
      <c r="I4" s="150"/>
      <c r="J4" s="35"/>
    </row>
    <row r="5" spans="1:10" ht="12.75">
      <c r="A5" s="105"/>
      <c r="B5" s="106"/>
      <c r="C5" s="106"/>
      <c r="D5" s="106"/>
      <c r="E5" s="106"/>
      <c r="F5" s="106"/>
      <c r="G5" s="106"/>
      <c r="H5" s="106"/>
      <c r="I5" s="113"/>
      <c r="J5" s="35"/>
    </row>
    <row r="6" spans="1:10" ht="12.75">
      <c r="A6" s="114" t="s">
        <v>3</v>
      </c>
      <c r="B6" s="106"/>
      <c r="C6" s="115" t="str">
        <f>'Stavební rozpočet'!D6</f>
        <v>Vsetín u Pennymarketu</v>
      </c>
      <c r="D6" s="106"/>
      <c r="E6" s="115" t="s">
        <v>64</v>
      </c>
      <c r="F6" s="115" t="str">
        <f>'Stavební rozpočet'!K6</f>
        <v>dle VŘ</v>
      </c>
      <c r="G6" s="106"/>
      <c r="H6" s="115" t="s">
        <v>160</v>
      </c>
      <c r="I6" s="150"/>
      <c r="J6" s="35"/>
    </row>
    <row r="7" spans="1:10" ht="12.75">
      <c r="A7" s="105"/>
      <c r="B7" s="106"/>
      <c r="C7" s="106"/>
      <c r="D7" s="106"/>
      <c r="E7" s="106"/>
      <c r="F7" s="106"/>
      <c r="G7" s="106"/>
      <c r="H7" s="106"/>
      <c r="I7" s="113"/>
      <c r="J7" s="35"/>
    </row>
    <row r="8" spans="1:10" ht="12.75">
      <c r="A8" s="114" t="s">
        <v>52</v>
      </c>
      <c r="B8" s="106"/>
      <c r="C8" s="115">
        <f>'Stavební rozpočet'!I4</f>
        <v>0</v>
      </c>
      <c r="D8" s="106"/>
      <c r="E8" s="115" t="s">
        <v>53</v>
      </c>
      <c r="F8" s="115" t="str">
        <f>'Stavební rozpočet'!I6</f>
        <v> </v>
      </c>
      <c r="G8" s="106"/>
      <c r="H8" s="116" t="s">
        <v>161</v>
      </c>
      <c r="I8" s="150" t="s">
        <v>14</v>
      </c>
      <c r="J8" s="35"/>
    </row>
    <row r="9" spans="1:10" ht="12.75">
      <c r="A9" s="105"/>
      <c r="B9" s="106"/>
      <c r="C9" s="106"/>
      <c r="D9" s="106"/>
      <c r="E9" s="106"/>
      <c r="F9" s="106"/>
      <c r="G9" s="106"/>
      <c r="H9" s="106"/>
      <c r="I9" s="113"/>
      <c r="J9" s="35"/>
    </row>
    <row r="10" spans="1:10" ht="12.75">
      <c r="A10" s="114" t="s">
        <v>4</v>
      </c>
      <c r="B10" s="106"/>
      <c r="C10" s="115" t="str">
        <f>'Stavební rozpočet'!D8</f>
        <v> </v>
      </c>
      <c r="D10" s="106"/>
      <c r="E10" s="115" t="s">
        <v>65</v>
      </c>
      <c r="F10" s="115" t="str">
        <f>'Stavební rozpočet'!K8</f>
        <v>Ing. Petr Ryza</v>
      </c>
      <c r="G10" s="106"/>
      <c r="H10" s="116" t="s">
        <v>162</v>
      </c>
      <c r="I10" s="137" t="str">
        <f>'Stavební rozpočet'!I8</f>
        <v>11.07.2023</v>
      </c>
      <c r="J10" s="35"/>
    </row>
    <row r="11" spans="1:10" ht="12.75">
      <c r="A11" s="143"/>
      <c r="B11" s="144"/>
      <c r="C11" s="144"/>
      <c r="D11" s="144"/>
      <c r="E11" s="144"/>
      <c r="F11" s="144"/>
      <c r="G11" s="144"/>
      <c r="H11" s="144"/>
      <c r="I11" s="145"/>
      <c r="J11" s="35"/>
    </row>
    <row r="12" spans="1:9" ht="23.25" customHeight="1">
      <c r="A12" s="151" t="s">
        <v>120</v>
      </c>
      <c r="B12" s="152"/>
      <c r="C12" s="152"/>
      <c r="D12" s="152"/>
      <c r="E12" s="152"/>
      <c r="F12" s="152"/>
      <c r="G12" s="152"/>
      <c r="H12" s="152"/>
      <c r="I12" s="152"/>
    </row>
    <row r="13" spans="1:10" ht="26.25" customHeight="1">
      <c r="A13" s="87" t="s">
        <v>121</v>
      </c>
      <c r="B13" s="153" t="s">
        <v>133</v>
      </c>
      <c r="C13" s="154"/>
      <c r="D13" s="87" t="s">
        <v>136</v>
      </c>
      <c r="E13" s="153" t="s">
        <v>145</v>
      </c>
      <c r="F13" s="154"/>
      <c r="G13" s="87" t="s">
        <v>146</v>
      </c>
      <c r="H13" s="153" t="s">
        <v>163</v>
      </c>
      <c r="I13" s="154"/>
      <c r="J13" s="35"/>
    </row>
    <row r="14" spans="1:10" ht="15" customHeight="1">
      <c r="A14" s="88" t="s">
        <v>122</v>
      </c>
      <c r="B14" s="91" t="s">
        <v>134</v>
      </c>
      <c r="C14" s="94">
        <f>SUM('Stavební rozpočet'!AB12:AB24)</f>
        <v>0</v>
      </c>
      <c r="D14" s="155" t="s">
        <v>137</v>
      </c>
      <c r="E14" s="156"/>
      <c r="F14" s="94">
        <v>0</v>
      </c>
      <c r="G14" s="155" t="s">
        <v>147</v>
      </c>
      <c r="H14" s="156"/>
      <c r="I14" s="94">
        <v>0</v>
      </c>
      <c r="J14" s="35"/>
    </row>
    <row r="15" spans="1:10" ht="15" customHeight="1">
      <c r="A15" s="89"/>
      <c r="B15" s="91" t="s">
        <v>66</v>
      </c>
      <c r="C15" s="94">
        <f>SUM('Stavební rozpočet'!AC12:AC24)</f>
        <v>0</v>
      </c>
      <c r="D15" s="155" t="s">
        <v>138</v>
      </c>
      <c r="E15" s="156"/>
      <c r="F15" s="94">
        <v>0</v>
      </c>
      <c r="G15" s="155" t="s">
        <v>148</v>
      </c>
      <c r="H15" s="156"/>
      <c r="I15" s="94">
        <v>0</v>
      </c>
      <c r="J15" s="35"/>
    </row>
    <row r="16" spans="1:10" ht="15" customHeight="1">
      <c r="A16" s="88" t="s">
        <v>123</v>
      </c>
      <c r="B16" s="91" t="s">
        <v>134</v>
      </c>
      <c r="C16" s="94">
        <f>SUM('Stavební rozpočet'!AD12:AD24)</f>
        <v>0</v>
      </c>
      <c r="D16" s="155" t="s">
        <v>139</v>
      </c>
      <c r="E16" s="156"/>
      <c r="F16" s="94">
        <v>0</v>
      </c>
      <c r="G16" s="155" t="s">
        <v>149</v>
      </c>
      <c r="H16" s="156"/>
      <c r="I16" s="94">
        <v>0</v>
      </c>
      <c r="J16" s="35"/>
    </row>
    <row r="17" spans="1:10" ht="15" customHeight="1">
      <c r="A17" s="89"/>
      <c r="B17" s="91" t="s">
        <v>66</v>
      </c>
      <c r="C17" s="94">
        <f>SUM('Stavební rozpočet'!AE12:AE24)</f>
        <v>0</v>
      </c>
      <c r="D17" s="155"/>
      <c r="E17" s="156"/>
      <c r="F17" s="95"/>
      <c r="G17" s="155" t="s">
        <v>150</v>
      </c>
      <c r="H17" s="156"/>
      <c r="I17" s="94">
        <v>0</v>
      </c>
      <c r="J17" s="35"/>
    </row>
    <row r="18" spans="1:10" ht="15" customHeight="1">
      <c r="A18" s="88" t="s">
        <v>124</v>
      </c>
      <c r="B18" s="91" t="s">
        <v>134</v>
      </c>
      <c r="C18" s="94">
        <f>SUM('Stavební rozpočet'!AF12:AF24)</f>
        <v>0</v>
      </c>
      <c r="D18" s="155"/>
      <c r="E18" s="156"/>
      <c r="F18" s="95"/>
      <c r="G18" s="155" t="s">
        <v>151</v>
      </c>
      <c r="H18" s="156"/>
      <c r="I18" s="94">
        <v>0</v>
      </c>
      <c r="J18" s="35"/>
    </row>
    <row r="19" spans="1:10" ht="15" customHeight="1">
      <c r="A19" s="89"/>
      <c r="B19" s="91" t="s">
        <v>66</v>
      </c>
      <c r="C19" s="94">
        <f>SUM('Stavební rozpočet'!AG12:AG24)</f>
        <v>0</v>
      </c>
      <c r="D19" s="155"/>
      <c r="E19" s="156"/>
      <c r="F19" s="95"/>
      <c r="G19" s="155" t="s">
        <v>152</v>
      </c>
      <c r="H19" s="156"/>
      <c r="I19" s="94">
        <v>0</v>
      </c>
      <c r="J19" s="35"/>
    </row>
    <row r="20" spans="1:10" ht="15" customHeight="1">
      <c r="A20" s="157" t="s">
        <v>125</v>
      </c>
      <c r="B20" s="158"/>
      <c r="C20" s="94">
        <f>SUM('Stavební rozpočet'!AH12:AH24)</f>
        <v>0</v>
      </c>
      <c r="D20" s="155"/>
      <c r="E20" s="156"/>
      <c r="F20" s="95"/>
      <c r="G20" s="155"/>
      <c r="H20" s="156"/>
      <c r="I20" s="95"/>
      <c r="J20" s="35"/>
    </row>
    <row r="21" spans="1:10" ht="15" customHeight="1">
      <c r="A21" s="157" t="s">
        <v>126</v>
      </c>
      <c r="B21" s="158"/>
      <c r="C21" s="94">
        <f>SUM('Stavební rozpočet'!Z12:Z24)</f>
        <v>0</v>
      </c>
      <c r="D21" s="155"/>
      <c r="E21" s="156"/>
      <c r="F21" s="95"/>
      <c r="G21" s="155"/>
      <c r="H21" s="156"/>
      <c r="I21" s="95"/>
      <c r="J21" s="35"/>
    </row>
    <row r="22" spans="1:10" ht="16.5" customHeight="1">
      <c r="A22" s="157" t="s">
        <v>127</v>
      </c>
      <c r="B22" s="158"/>
      <c r="C22" s="94">
        <f>SUM(C14:C21)</f>
        <v>0</v>
      </c>
      <c r="D22" s="157" t="s">
        <v>140</v>
      </c>
      <c r="E22" s="158"/>
      <c r="F22" s="94">
        <f>SUM(F14:F21)</f>
        <v>0</v>
      </c>
      <c r="G22" s="157" t="s">
        <v>153</v>
      </c>
      <c r="H22" s="158"/>
      <c r="I22" s="94">
        <f>SUM(I14:I21)</f>
        <v>0</v>
      </c>
      <c r="J22" s="35"/>
    </row>
    <row r="23" spans="1:10" ht="15" customHeight="1">
      <c r="A23" s="7"/>
      <c r="B23" s="7"/>
      <c r="C23" s="92"/>
      <c r="D23" s="157" t="s">
        <v>141</v>
      </c>
      <c r="E23" s="158"/>
      <c r="F23" s="96">
        <v>0</v>
      </c>
      <c r="G23" s="157" t="s">
        <v>154</v>
      </c>
      <c r="H23" s="158"/>
      <c r="I23" s="94">
        <v>0</v>
      </c>
      <c r="J23" s="35"/>
    </row>
    <row r="24" spans="4:10" ht="15" customHeight="1">
      <c r="D24" s="7"/>
      <c r="E24" s="7"/>
      <c r="F24" s="97"/>
      <c r="G24" s="157" t="s">
        <v>155</v>
      </c>
      <c r="H24" s="158"/>
      <c r="I24" s="94">
        <v>0</v>
      </c>
      <c r="J24" s="35"/>
    </row>
    <row r="25" spans="6:10" ht="15" customHeight="1">
      <c r="F25" s="98"/>
      <c r="G25" s="157" t="s">
        <v>156</v>
      </c>
      <c r="H25" s="158"/>
      <c r="I25" s="94">
        <v>0</v>
      </c>
      <c r="J25" s="35"/>
    </row>
    <row r="26" spans="1:9" ht="12.75">
      <c r="A26" s="86"/>
      <c r="B26" s="86"/>
      <c r="C26" s="86"/>
      <c r="G26" s="7"/>
      <c r="H26" s="7"/>
      <c r="I26" s="7"/>
    </row>
    <row r="27" spans="1:9" ht="15" customHeight="1">
      <c r="A27" s="159" t="s">
        <v>128</v>
      </c>
      <c r="B27" s="160"/>
      <c r="C27" s="99">
        <f>SUM('Stavební rozpočet'!AJ12:AJ24)</f>
        <v>0</v>
      </c>
      <c r="D27" s="93"/>
      <c r="E27" s="86"/>
      <c r="F27" s="86"/>
      <c r="G27" s="86"/>
      <c r="H27" s="86"/>
      <c r="I27" s="86"/>
    </row>
    <row r="28" spans="1:10" ht="15" customHeight="1">
      <c r="A28" s="159" t="s">
        <v>129</v>
      </c>
      <c r="B28" s="160"/>
      <c r="C28" s="99">
        <f>SUM('Stavební rozpočet'!AK12:AK24)</f>
        <v>0</v>
      </c>
      <c r="D28" s="159" t="s">
        <v>142</v>
      </c>
      <c r="E28" s="160"/>
      <c r="F28" s="99">
        <f>ROUND(C28*(15/100),2)</f>
        <v>0</v>
      </c>
      <c r="G28" s="159" t="s">
        <v>157</v>
      </c>
      <c r="H28" s="160"/>
      <c r="I28" s="99">
        <f>SUM(C27:C29)</f>
        <v>0</v>
      </c>
      <c r="J28" s="35"/>
    </row>
    <row r="29" spans="1:10" ht="15" customHeight="1">
      <c r="A29" s="159" t="s">
        <v>130</v>
      </c>
      <c r="B29" s="160"/>
      <c r="C29" s="99">
        <f>SUM('Stavební rozpočet'!AL12:AL24)+(F22+I22+F23+I23+I24+I25)</f>
        <v>0</v>
      </c>
      <c r="D29" s="159" t="s">
        <v>143</v>
      </c>
      <c r="E29" s="160"/>
      <c r="F29" s="99">
        <f>ROUND(C29*(21/100),2)</f>
        <v>0</v>
      </c>
      <c r="G29" s="159" t="s">
        <v>158</v>
      </c>
      <c r="H29" s="160"/>
      <c r="I29" s="99">
        <f>SUM(F28:F29)+I28</f>
        <v>0</v>
      </c>
      <c r="J29" s="35"/>
    </row>
    <row r="30" spans="1:9" ht="12.75">
      <c r="A30" s="90"/>
      <c r="B30" s="90"/>
      <c r="C30" s="90"/>
      <c r="D30" s="90"/>
      <c r="E30" s="90"/>
      <c r="F30" s="90"/>
      <c r="G30" s="90"/>
      <c r="H30" s="90"/>
      <c r="I30" s="90"/>
    </row>
    <row r="31" spans="1:10" ht="14.25" customHeight="1">
      <c r="A31" s="161" t="s">
        <v>131</v>
      </c>
      <c r="B31" s="162"/>
      <c r="C31" s="163"/>
      <c r="D31" s="161" t="s">
        <v>144</v>
      </c>
      <c r="E31" s="162"/>
      <c r="F31" s="163"/>
      <c r="G31" s="161" t="s">
        <v>159</v>
      </c>
      <c r="H31" s="162"/>
      <c r="I31" s="163"/>
      <c r="J31" s="36"/>
    </row>
    <row r="32" spans="1:10" ht="14.25" customHeight="1">
      <c r="A32" s="164"/>
      <c r="B32" s="165"/>
      <c r="C32" s="166"/>
      <c r="D32" s="164"/>
      <c r="E32" s="165"/>
      <c r="F32" s="166"/>
      <c r="G32" s="164"/>
      <c r="H32" s="165"/>
      <c r="I32" s="166"/>
      <c r="J32" s="36"/>
    </row>
    <row r="33" spans="1:10" ht="14.25" customHeight="1">
      <c r="A33" s="164"/>
      <c r="B33" s="165"/>
      <c r="C33" s="166"/>
      <c r="D33" s="164"/>
      <c r="E33" s="165"/>
      <c r="F33" s="166"/>
      <c r="G33" s="164"/>
      <c r="H33" s="165"/>
      <c r="I33" s="166"/>
      <c r="J33" s="36"/>
    </row>
    <row r="34" spans="1:10" ht="14.25" customHeight="1">
      <c r="A34" s="164"/>
      <c r="B34" s="165"/>
      <c r="C34" s="166"/>
      <c r="D34" s="164"/>
      <c r="E34" s="165"/>
      <c r="F34" s="166"/>
      <c r="G34" s="164"/>
      <c r="H34" s="165"/>
      <c r="I34" s="166"/>
      <c r="J34" s="36"/>
    </row>
    <row r="35" spans="1:10" ht="14.25" customHeight="1">
      <c r="A35" s="167" t="s">
        <v>132</v>
      </c>
      <c r="B35" s="168"/>
      <c r="C35" s="169"/>
      <c r="D35" s="167" t="s">
        <v>132</v>
      </c>
      <c r="E35" s="168"/>
      <c r="F35" s="169"/>
      <c r="G35" s="167" t="s">
        <v>132</v>
      </c>
      <c r="H35" s="168"/>
      <c r="I35" s="169"/>
      <c r="J35" s="36"/>
    </row>
    <row r="36" spans="1:9" ht="11.25" customHeight="1">
      <c r="A36" s="65" t="s">
        <v>15</v>
      </c>
      <c r="B36" s="67"/>
      <c r="C36" s="67"/>
      <c r="D36" s="67"/>
      <c r="E36" s="67"/>
      <c r="F36" s="67"/>
      <c r="G36" s="67"/>
      <c r="H36" s="67"/>
      <c r="I36" s="67"/>
    </row>
    <row r="37" spans="1:9" ht="12.75">
      <c r="A37" s="115"/>
      <c r="B37" s="106"/>
      <c r="C37" s="106"/>
      <c r="D37" s="106"/>
      <c r="E37" s="106"/>
      <c r="F37" s="106"/>
      <c r="G37" s="106"/>
      <c r="H37" s="106"/>
      <c r="I37" s="106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Ryza Petr, Ing.</dc:creator>
  <cp:keywords/>
  <dc:description/>
  <cp:lastModifiedBy>Ing. Josef Stejskal</cp:lastModifiedBy>
  <dcterms:created xsi:type="dcterms:W3CDTF">2023-07-11T10:52:09Z</dcterms:created>
  <dcterms:modified xsi:type="dcterms:W3CDTF">2023-07-11T12:10:05Z</dcterms:modified>
  <cp:category/>
  <cp:version/>
  <cp:contentType/>
  <cp:contentStatus/>
</cp:coreProperties>
</file>